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ContentType="image/jpeg" Extension="jpeg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6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6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8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center" vertical="center" wrapText="1"/>
    </xf>
    <xf borderId="5" numFmtId="0" fontId="6" fillId="7" applyNumberFormat="0" applyFill="1" applyFont="1" applyBorder="1" applyAlignment="1" applyProtection="0">
      <alignment horizontal="right" vertical="top" wrapText="1"/>
    </xf>
    <xf borderId="6" numFmtId="0" fontId="7" fillId="8" applyNumberFormat="0" applyFill="1" applyFont="1" applyBorder="1" applyAlignment="1" applyProtection="0">
      <alignment horizontal="left" vertical="top" wrapText="1"/>
    </xf>
    <xf borderId="7" numFmtId="0" fontId="8" fillId="9" applyNumberFormat="0" applyFill="1" applyFont="1" applyBorder="1" applyAlignment="1" applyProtection="0">
      <alignment horizontal="center" vertical="top" wrapText="1"/>
    </xf>
    <xf borderId="8" numFmtId="0" fontId="9" fillId="10" applyNumberFormat="0" applyFill="1" applyFont="1" applyBorder="1" applyAlignment="1" applyProtection="0">
      <alignment horizontal="right" vertical="top" wrapText="1"/>
    </xf>
    <xf borderId="9" numFmtId="102" fontId="10" fillId="11" applyNumberFormat="1" applyFill="1" applyFont="1" applyBorder="1" applyAlignment="1" applyProtection="0">
      <alignment horizontal="right" vertical="top" wrapText="1"/>
    </xf>
    <xf borderId="10" numFmtId="103" fontId="11" fillId="12" applyNumberFormat="1" applyFill="1" applyFont="1" applyBorder="1" applyAlignment="1" applyProtection="0">
      <alignment horizontal="right" vertical="top" wrapText="1"/>
    </xf>
    <xf borderId="11" numFmtId="0" fontId="12" fillId="13" applyNumberFormat="0" applyFill="1" applyFont="1" applyBorder="1" applyAlignment="1" applyProtection="0">
      <alignment horizontal="left" vertical="top" wrapText="1"/>
    </xf>
    <xf borderId="12" numFmtId="0" fontId="13" fillId="14" applyNumberFormat="0" applyFill="1" applyFont="1" applyBorder="1" applyAlignment="1" applyProtection="0">
      <alignment horizontal="center" vertical="top" wrapText="1"/>
    </xf>
    <xf borderId="13" numFmtId="0" fontId="14" fillId="15" applyNumberFormat="0" applyFill="1" applyFont="1" applyBorder="1" applyAlignment="1" applyProtection="0">
      <alignment horizontal="right" vertical="top" wrapText="1"/>
    </xf>
    <xf borderId="14" numFmtId="0" fontId="15" fillId="16" applyNumberFormat="0" applyFill="1" applyFont="1" applyBorder="1" applyAlignment="1" applyProtection="0">
      <alignment horizontal="left" vertical="top" wrapText="1"/>
    </xf>
    <xf borderId="15" numFmtId="0" fontId="16" fillId="17" applyNumberFormat="0" applyFill="1" applyFont="1" applyBorder="1" applyAlignment="1" applyProtection="0">
      <alignment horizontal="center" vertical="top" wrapText="1"/>
    </xf>
    <xf borderId="16" numFmtId="0" fontId="17" fillId="18" applyNumberFormat="0" applyFill="1" applyFont="1" applyBorder="1" applyAlignment="1" applyProtection="0">
      <alignment horizontal="right" vertical="top" wrapText="1"/>
    </xf>
    <xf borderId="17" numFmtId="104" fontId="18" fillId="19" applyNumberFormat="1" applyFill="1" applyFont="1" applyBorder="1" applyAlignment="1" applyProtection="0">
      <alignment horizontal="right" vertical="top" wrapText="1"/>
    </xf>
    <xf borderId="18" numFmtId="105" fontId="19" fillId="20" applyNumberFormat="1" applyFill="1" applyFont="1" applyBorder="1" applyAlignment="1" applyProtection="0">
      <alignment horizontal="right" vertical="top" wrapText="1"/>
    </xf>
    <xf borderId="19" numFmtId="106" fontId="20" fillId="21" applyNumberFormat="1" applyFill="1" applyFont="1" applyBorder="1" applyAlignment="1" applyProtection="0">
      <alignment horizontal="right" vertical="top" wrapText="1"/>
    </xf>
    <xf borderId="20" numFmtId="107" fontId="21" fillId="22" applyNumberFormat="1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right" vertical="top" wrapText="1"/>
    </xf>
    <xf borderId="22" numFmtId="0" fontId="23" fillId="24" applyNumberFormat="0" applyFill="1" applyFont="1" applyBorder="1" applyAlignment="1" applyProtection="0">
      <alignment horizontal="left" vertical="top" wrapText="1"/>
    </xf>
    <xf borderId="23" numFmtId="0" fontId="24" fillId="25" applyNumberFormat="0" applyFill="1" applyFont="1" applyBorder="1" applyAlignment="1" applyProtection="0">
      <alignment horizontal="center" vertical="top" wrapText="1"/>
    </xf>
    <xf borderId="24" numFmtId="0" fontId="25" fillId="26" applyNumberFormat="0" applyFill="1" applyFont="1" applyBorder="1" applyAlignment="1" applyProtection="0">
      <alignment horizontal="right" vertical="top" wrapText="1"/>
    </xf>
    <xf borderId="25" numFmtId="0" fontId="26" fillId="27" applyNumberFormat="0" applyFill="1" applyFont="1" applyBorder="1" applyAlignment="1" applyProtection="0">
      <alignment horizontal="left" vertical="top" wrapText="1"/>
    </xf>
    <xf borderId="26" numFmtId="0" fontId="27" fillId="28" applyNumberFormat="0" applyFill="1" applyFont="1" applyBorder="1" applyAlignment="1" applyProtection="0">
      <alignment horizontal="center" vertical="top" wrapText="1"/>
    </xf>
    <xf borderId="27" numFmtId="0" fontId="28" fillId="29" applyNumberFormat="0" applyFill="1" applyFont="1" applyBorder="1" applyAlignment="1" applyProtection="0">
      <alignment horizontal="right" vertical="top" wrapText="1"/>
    </xf>
    <xf borderId="28" numFmtId="0" fontId="29" fillId="30" applyNumberFormat="0" applyFill="1" applyFont="1" applyBorder="1" applyAlignment="1" applyProtection="0">
      <alignment horizontal="left" vertical="top" wrapText="1"/>
    </xf>
    <xf borderId="29" numFmtId="0" fontId="30" fillId="31" applyNumberFormat="0" applyFill="1" applyFont="1" applyBorder="1" applyAlignment="1" applyProtection="0">
      <alignment horizontal="center" vertical="top" wrapText="1"/>
    </xf>
    <xf borderId="30" numFmtId="0" fontId="31" fillId="32" applyNumberFormat="0" applyFill="1" applyFont="1" applyBorder="1" applyAlignment="1" applyProtection="0">
      <alignment horizontal="right" vertical="top" wrapText="1"/>
    </xf>
    <xf borderId="31" numFmtId="108" fontId="32" fillId="33" applyNumberFormat="1" applyFill="1" applyFont="1" applyBorder="1" applyAlignment="1" applyProtection="0">
      <alignment horizontal="right" vertical="top" wrapText="1"/>
    </xf>
    <xf borderId="32" numFmtId="109" fontId="33" fillId="34" applyNumberFormat="1" applyFill="1" applyFont="1" applyBorder="1" applyAlignment="1" applyProtection="0">
      <alignment horizontal="right" vertical="top" wrapText="1"/>
    </xf>
    <xf borderId="33" numFmtId="110" fontId="34" fillId="35" applyNumberFormat="1" applyFill="1" applyFont="1" applyBorder="1" applyAlignment="1" applyProtection="0">
      <alignment horizontal="right" vertical="top" wrapText="1"/>
    </xf>
    <xf borderId="34" numFmtId="111" fontId="35" fillId="36" applyNumberFormat="1" applyFill="1" applyFont="1" applyBorder="1" applyAlignment="1" applyProtection="0">
      <alignment horizontal="right" vertical="top" wrapText="1"/>
    </xf>
    <xf borderId="35" numFmtId="0" fontId="36" fillId="37" applyNumberFormat="0" applyFill="1" applyFont="1" applyBorder="1" applyAlignment="1" applyProtection="0">
      <alignment horizontal="left" vertical="top" wrapText="1"/>
    </xf>
    <xf borderId="36" numFmtId="0" fontId="37" fillId="38" applyNumberFormat="0" applyFill="1" applyFont="1" applyBorder="1" applyAlignment="1" applyProtection="0">
      <alignment horizontal="left" vertical="top" wrapText="1"/>
    </xf>
    <xf borderId="37" numFmtId="0" fontId="38" fillId="39" applyNumberFormat="0" applyFill="1" applyFont="1" applyBorder="1" applyAlignment="1" applyProtection="0">
      <alignment horizontal="center" vertical="top" wrapText="1"/>
    </xf>
    <xf borderId="38" numFmtId="0" fontId="39" fillId="40" applyNumberFormat="0" applyFill="1" applyFont="1" applyBorder="1" applyAlignment="1" applyProtection="0">
      <alignment horizontal="right" vertical="top" wrapText="1"/>
    </xf>
    <xf borderId="39" numFmtId="112" fontId="40" fillId="41" applyNumberFormat="1" applyFill="1" applyFont="1" applyBorder="1" applyAlignment="1" applyProtection="0">
      <alignment horizontal="right" vertical="top" wrapText="1"/>
    </xf>
    <xf borderId="40" numFmtId="113" fontId="41" fillId="42" applyNumberFormat="1" applyFill="1" applyFont="1" applyBorder="1" applyAlignment="1" applyProtection="0">
      <alignment horizontal="right" vertical="top" wrapText="1"/>
    </xf>
    <xf borderId="41" numFmtId="114" fontId="42" fillId="43" applyNumberFormat="1" applyFill="1" applyFont="1" applyBorder="1" applyAlignment="1" applyProtection="0">
      <alignment horizontal="right" vertical="top" wrapText="1"/>
    </xf>
    <xf borderId="42" numFmtId="115" fontId="43" fillId="44" applyNumberFormat="1" applyFill="1" applyFont="1" applyBorder="1" applyAlignment="1" applyProtection="0">
      <alignment horizontal="right" vertical="top" wrapText="1"/>
    </xf>
    <xf borderId="43" numFmtId="0" fontId="44" fillId="45" applyNumberFormat="0" applyFill="1" applyFont="1" applyBorder="1" applyAlignment="1" applyProtection="0">
      <alignment horizontal="left" vertical="top" wrapText="1"/>
    </xf>
    <xf borderId="44" numFmtId="0" fontId="45" fillId="46" applyNumberFormat="0" applyFill="1" applyFont="1" applyBorder="1" applyAlignment="1" applyProtection="0">
      <alignment horizontal="center" vertical="top" wrapText="1"/>
    </xf>
    <xf borderId="45" numFmtId="0" fontId="46" fillId="47" applyNumberFormat="0" applyFill="1" applyFont="1" applyBorder="1" applyAlignment="1" applyProtection="0">
      <alignment horizontal="right" vertical="top" wrapText="1"/>
    </xf>
    <xf borderId="46" numFmtId="116" fontId="47" fillId="48" applyNumberFormat="1" applyFill="1" applyFont="1" applyBorder="1" applyAlignment="1" applyProtection="0">
      <alignment horizontal="right" vertical="top" wrapText="1"/>
    </xf>
    <xf borderId="47" numFmtId="117" fontId="48" fillId="49" applyNumberFormat="1" applyFill="1" applyFont="1" applyBorder="1" applyAlignment="1" applyProtection="0">
      <alignment horizontal="right" vertical="top" wrapText="1"/>
    </xf>
    <xf borderId="48" numFmtId="118" fontId="49" fillId="50" applyNumberFormat="1" applyFill="1" applyFont="1" applyBorder="1" applyAlignment="1" applyProtection="0">
      <alignment horizontal="right" vertical="top" wrapText="1"/>
    </xf>
    <xf borderId="49" numFmtId="119" fontId="50" fillId="51" applyNumberFormat="1" applyFill="1" applyFont="1" applyBorder="1" applyAlignment="1" applyProtection="0">
      <alignment horizontal="right" vertical="top" wrapText="1"/>
    </xf>
    <xf borderId="50" numFmtId="0" fontId="51" fillId="52" applyNumberFormat="0" applyFill="1" applyFont="1" applyBorder="1" applyAlignment="1" applyProtection="0">
      <alignment horizontal="right" vertical="top" wrapText="1"/>
    </xf>
    <xf borderId="51" numFmtId="0" fontId="52" fillId="53" applyNumberFormat="0" applyFill="1" applyFont="1" applyBorder="1" applyAlignment="1" applyProtection="0">
      <alignment horizontal="left" vertical="top" wrapText="1"/>
    </xf>
    <xf borderId="52" numFmtId="0" fontId="53" fillId="54" applyNumberFormat="0" applyFill="1" applyFont="1" applyBorder="1" applyAlignment="1" applyProtection="0">
      <alignment horizontal="center" vertical="top" wrapText="1"/>
    </xf>
    <xf borderId="53" numFmtId="0" fontId="54" fillId="55" applyNumberFormat="0" applyFill="1" applyFont="1" applyBorder="1" applyAlignment="1" applyProtection="0">
      <alignment horizontal="right" vertical="top" wrapText="1"/>
    </xf>
    <xf borderId="0" numFmtId="0" fontId="55" fillId="56" applyNumberFormat="0" applyFill="1" applyFont="1" applyBorder="0" applyAlignment="1" applyProtection="0">
      <alignment horizontal="left" vertical="top" wrapText="1"/>
    </xf>
    <xf borderId="0" numFmtId="0" fontId="56" fillId="57" applyNumberFormat="0" applyFill="1" applyFont="1" applyBorder="0" applyAlignment="1" applyProtection="0">
      <alignment horizontal="center" vertical="top" wrapText="1"/>
    </xf>
    <xf borderId="0" numFmtId="0" fontId="57" fillId="58" applyNumberFormat="0" applyFill="1" applyFont="1" applyBorder="0" applyAlignment="1" applyProtection="0">
      <alignment horizontal="right" vertical="top" wrapText="1"/>
    </xf>
    <xf borderId="0" numFmtId="120" fontId="58" fillId="59" applyNumberFormat="1" applyFill="1" applyFont="1" applyBorder="0" applyAlignment="1" applyProtection="0">
      <alignment horizontal="right" vertical="top" wrapText="1"/>
    </xf>
    <xf borderId="0" numFmtId="121" fontId="59" fillId="60" applyNumberFormat="1" applyFill="1" applyFont="1" applyBorder="0" applyAlignment="1" applyProtection="0">
      <alignment horizontal="right" vertical="top" wrapText="1"/>
    </xf>
    <xf borderId="0" numFmtId="122" fontId="60" fillId="61" applyNumberFormat="1" applyFill="1" applyFont="1" applyBorder="0" applyAlignment="1" applyProtection="0">
      <alignment horizontal="left" vertical="top" wrapText="1"/>
    </xf>
    <xf borderId="0" numFmtId="123" fontId="61" fillId="62" applyNumberFormat="1" applyFill="1" applyFont="1" applyBorder="0" applyAlignment="1" applyProtection="0">
      <alignment horizontal="left" vertical="top" wrapText="1"/>
    </xf>
    <xf borderId="0" numFmtId="124" fontId="62" fillId="63" applyNumberFormat="1" applyFill="1" applyFont="1" applyBorder="0" applyAlignment="1" applyProtection="0">
      <alignment horizontal="right" vertical="top" wrapText="1"/>
    </xf>
    <xf borderId="0" numFmtId="125" fontId="63" fillId="64" applyNumberFormat="1" applyFill="1" applyFont="1" applyBorder="0" applyAlignment="1" applyProtection="0">
      <alignment horizontal="right" vertical="top" wrapText="1"/>
    </xf>
    <xf borderId="0" numFmtId="0" fontId="64" fillId="65" applyNumberFormat="0" applyFill="1" applyFont="1" applyBorder="0" applyAlignment="1" applyProtection="0">
      <alignment horizontal="left" vertical="top" wrapText="1"/>
    </xf>
    <xf borderId="0" numFmtId="0" fontId="65" fillId="66" applyNumberFormat="0" applyFill="1" applyFont="1" applyBorder="0" applyAlignment="1" applyProtection="0">
      <alignment horizontal="center" vertical="top" wrapText="1"/>
    </xf>
    <xf borderId="0" numFmtId="0" fontId="66" fillId="67" applyNumberFormat="0" applyFill="1" applyFont="1" applyBorder="0" applyAlignment="1" applyProtection="0">
      <alignment horizontal="right" vertical="top" wrapText="1"/>
    </xf>
    <xf borderId="0" numFmtId="126" fontId="67" fillId="68" applyNumberFormat="1" applyFill="1" applyFont="1" applyBorder="0" applyAlignment="1" applyProtection="0">
      <alignment horizontal="right" vertical="top" wrapText="1"/>
    </xf>
    <xf borderId="54" numFmtId="0" fontId="68" fillId="69" applyNumberFormat="0" applyFill="1" applyFont="1" applyBorder="1" applyAlignment="1" applyProtection="0">
      <alignment horizontal="left" vertical="top" wrapText="1"/>
    </xf>
    <xf borderId="55" numFmtId="0" fontId="69" fillId="70" applyNumberFormat="0" applyFill="1" applyFont="1" applyBorder="1" applyAlignment="1" applyProtection="0">
      <alignment horizontal="center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59" numFmtId="0" fontId="73" fillId="74" applyNumberFormat="0" applyFill="1" applyFont="1" applyBorder="1" applyAlignment="1" applyProtection="0">
      <alignment horizontal="right" vertical="top" wrapText="1"/>
    </xf>
    <xf borderId="60" numFmtId="0" fontId="74" fillId="75" applyNumberFormat="0" applyFill="1" applyFont="1" applyBorder="1" applyAlignment="1" applyProtection="0">
      <alignment horizontal="right" vertical="top" wrapText="1"/>
    </xf>
    <xf borderId="0" numFmtId="0" fontId="75" fillId="76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drawings/_rels/drawing1.xml.rels><?xml version="1.0" encoding="UTF-8"?><Relationships xmlns="http://schemas.openxmlformats.org/package/2006/relationships"><Relationship Target="../media/image1.jpeg" Type="http://schemas.openxmlformats.org/officeDocument/2006/relationships/image" Id="rId6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95350"/>
    <xdr:pic>
      <xdr:nvPicPr>
        <xdr:cNvPr id="2" name="" descr=""/>
        <xdr:cNvPicPr>
          <a:picLocks noChangeAspect="1" noSelect="1" noMove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7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247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3.2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  <c r="J1" s="3"/>
    </row>
    <row customHeight="1" ht="80" r="2">
      <c r="A2" s="57"/>
      <c r="B2" s="57"/>
      <c r="C2" s="57"/>
      <c r="D2" s="57" t="inlineStr">
        <is>
          <t>CARTORIO ELEITORAL DE CORRENTE</t>
        </is>
      </c>
      <c r="E2" s="57" t="inlineStr">
        <is>
          <t>SINAPI - 10/2024 - Piauí
ORSE - 09/2024 - Sergipe
SEINFRA - 028 - Ceará
</t>
        </is>
      </c>
      <c r="F2" s="57"/>
      <c r="G2" s="57" t="inlineStr">
        <is>
          <t>25,51%</t>
        </is>
      </c>
      <c r="H2" s="57"/>
      <c r="I2" s="57" t="inlineStr">
        <is>
          <t>Não Desonerado: 
Horista: 114,54%
Mensalista: 71,62%</t>
        </is>
      </c>
      <c r="J2" s="57"/>
    </row>
    <row r="3">
      <c r="A3" s="4" t="inlineStr">
        <is>
          <t>Orçamento Sintético</t>
        </is>
      </c>
    </row>
    <row customHeight="1" ht="30" r="4">
      <c r="A4" s="5" t="inlineStr">
        <is>
          <t>Item</t>
        </is>
      </c>
      <c r="B4" s="8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8" t="inlineStr">
        <is>
          <t>Quant.</t>
        </is>
      </c>
      <c r="G4" s="8" t="inlineStr">
        <is>
          <t>Valor Unit</t>
        </is>
      </c>
      <c r="H4" s="8" t="inlineStr">
        <is>
          <t>Valor Unit com BDI</t>
        </is>
      </c>
      <c r="I4" s="8" t="inlineStr">
        <is>
          <t>Total</t>
        </is>
      </c>
      <c r="J4" s="8" t="inlineStr">
        <is>
          <t>Peso (%)</t>
        </is>
      </c>
    </row>
    <row customHeight="1" ht="24" r="5">
      <c r="A5" s="9" t="inlineStr">
        <is>
          <t> 1 </t>
        </is>
      </c>
      <c r="B5" s="9"/>
      <c r="C5" s="9"/>
      <c r="D5" s="9" t="inlineStr">
        <is>
          <t>SERVIÇOS PRELIMINARES</t>
        </is>
      </c>
      <c r="E5" s="9"/>
      <c r="F5" s="11"/>
      <c r="G5" s="9"/>
      <c r="H5" s="9"/>
      <c r="I5" s="12" t="n">
        <v>3544.77</v>
      </c>
      <c r="J5" s="13" t="str">
        <f>i5 / 220048.84</f>
      </c>
    </row>
    <row customHeight="1" ht="39" r="6">
      <c r="A6" s="17" t="inlineStr">
        <is>
          <t> 1.1 </t>
        </is>
      </c>
      <c r="B6" s="19" t="inlineStr">
        <is>
          <t> 103689 </t>
        </is>
      </c>
      <c r="C6" s="17" t="inlineStr">
        <is>
          <t>SINAPI</t>
        </is>
      </c>
      <c r="D6" s="17" t="inlineStr">
        <is>
          <t>FORNECIMENTO E INSTALAÇÃO DE PLACA DE OBRA COM CHAPA GALVANIZADA E ESTRUTURA DE MADEIRA. AF_03/2022_PS</t>
        </is>
      </c>
      <c r="E6" s="18" t="inlineStr">
        <is>
          <t>m²</t>
        </is>
      </c>
      <c r="F6" s="19" t="n">
        <v>3.0</v>
      </c>
      <c r="G6" s="20" t="n">
        <v>461.94</v>
      </c>
      <c r="H6" s="20" t="str">
        <f>TRUNC(G6 * (1 + 25.51 / 100), 2)</f>
      </c>
      <c r="I6" s="20" t="str">
        <f>TRUNC(F6 * h6, 2)</f>
      </c>
      <c r="J6" s="21" t="str">
        <f>i6 / 220048.84</f>
      </c>
    </row>
    <row customHeight="1" ht="24" r="7">
      <c r="A7" s="17" t="inlineStr">
        <is>
          <t> 1.2 </t>
        </is>
      </c>
      <c r="B7" s="19" t="inlineStr">
        <is>
          <t> TRE01 </t>
        </is>
      </c>
      <c r="C7" s="17" t="inlineStr">
        <is>
          <t>Próprio</t>
        </is>
      </c>
      <c r="D7" s="17" t="inlineStr">
        <is>
          <t>ART DE EXECUÇÃO DA ORDEM DE SERVIÇO</t>
        </is>
      </c>
      <c r="E7" s="18" t="inlineStr">
        <is>
          <t>und</t>
        </is>
      </c>
      <c r="F7" s="19" t="n">
        <v>1.0</v>
      </c>
      <c r="G7" s="20" t="n">
        <v>254.59</v>
      </c>
      <c r="H7" s="20" t="str">
        <f>TRUNC(G7 * (1 + 25.51 / 100), 2)</f>
      </c>
      <c r="I7" s="20" t="str">
        <f>TRUNC(F7 * h7, 2)</f>
      </c>
      <c r="J7" s="21" t="str">
        <f>i7 / 220048.84</f>
      </c>
    </row>
    <row customHeight="1" ht="24" r="8">
      <c r="A8" s="17" t="inlineStr">
        <is>
          <t> 1.3 </t>
        </is>
      </c>
      <c r="B8" s="19" t="inlineStr">
        <is>
          <t> 2454 </t>
        </is>
      </c>
      <c r="C8" s="17" t="inlineStr">
        <is>
          <t>ORSE</t>
        </is>
      </c>
      <c r="D8" s="17" t="inlineStr">
        <is>
          <t>Andaime tubular metálico simples - peça x dia</t>
        </is>
      </c>
      <c r="E8" s="18" t="inlineStr">
        <is>
          <t>PxD</t>
        </is>
      </c>
      <c r="F8" s="19" t="n">
        <v>900.0</v>
      </c>
      <c r="G8" s="20" t="n">
        <v>0.5</v>
      </c>
      <c r="H8" s="20" t="str">
        <f>TRUNC(G8 * (1 + 25.51 / 100), 2)</f>
      </c>
      <c r="I8" s="20" t="str">
        <f>TRUNC(F8 * h8, 2)</f>
      </c>
      <c r="J8" s="21" t="str">
        <f>i8 / 220048.84</f>
      </c>
    </row>
    <row customHeight="1" ht="26" r="9">
      <c r="A9" s="17" t="inlineStr">
        <is>
          <t> 1.4 </t>
        </is>
      </c>
      <c r="B9" s="19" t="inlineStr">
        <is>
          <t> 97064 </t>
        </is>
      </c>
      <c r="C9" s="17" t="inlineStr">
        <is>
          <t>SINAPI</t>
        </is>
      </c>
      <c r="D9" s="17" t="inlineStr">
        <is>
          <t>MONTAGEM E DESMONTAGEM DE ANDAIME TUBULAR TIPO "TORRE" (EXCLUSIVE ANDAIME E LIMPEZA). AF_03/2024</t>
        </is>
      </c>
      <c r="E9" s="18" t="inlineStr">
        <is>
          <t>M</t>
        </is>
      </c>
      <c r="F9" s="19" t="n">
        <v>30.0</v>
      </c>
      <c r="G9" s="20" t="n">
        <v>24.65</v>
      </c>
      <c r="H9" s="20" t="str">
        <f>TRUNC(G9 * (1 + 25.51 / 100), 2)</f>
      </c>
      <c r="I9" s="20" t="str">
        <f>TRUNC(F9 * h9, 2)</f>
      </c>
      <c r="J9" s="21" t="str">
        <f>i9 / 220048.84</f>
      </c>
    </row>
    <row customHeight="1" ht="24" r="10">
      <c r="A10" s="9" t="inlineStr">
        <is>
          <t> 2 </t>
        </is>
      </c>
      <c r="B10" s="9"/>
      <c r="C10" s="9"/>
      <c r="D10" s="9" t="inlineStr">
        <is>
          <t>DEMOLIÇÕES, ESCAVAÇÕES E RETIRADAS</t>
        </is>
      </c>
      <c r="E10" s="9"/>
      <c r="F10" s="11"/>
      <c r="G10" s="9"/>
      <c r="H10" s="9"/>
      <c r="I10" s="12" t="n">
        <v>6389.34</v>
      </c>
      <c r="J10" s="13" t="str">
        <f>i10 / 220048.84</f>
      </c>
    </row>
    <row customHeight="1" ht="26" r="11">
      <c r="A11" s="17" t="inlineStr">
        <is>
          <t> 2.1 </t>
        </is>
      </c>
      <c r="B11" s="19" t="inlineStr">
        <is>
          <t> 97660 </t>
        </is>
      </c>
      <c r="C11" s="17" t="inlineStr">
        <is>
          <t>SINAPI</t>
        </is>
      </c>
      <c r="D11" s="17" t="inlineStr">
        <is>
          <t>REMOÇÃO DE INTERRUPTORES/TOMADAS ELÉTRICAS, DE FORMA MANUAL, SEM REAPROVEITAMENTO. AF_09/2023</t>
        </is>
      </c>
      <c r="E11" s="18" t="inlineStr">
        <is>
          <t>UN</t>
        </is>
      </c>
      <c r="F11" s="19" t="n">
        <v>25.0</v>
      </c>
      <c r="G11" s="20" t="n">
        <v>0.64</v>
      </c>
      <c r="H11" s="20" t="str">
        <f>TRUNC(G11 * (1 + 25.51 / 100), 2)</f>
      </c>
      <c r="I11" s="20" t="str">
        <f>TRUNC(F11 * h11, 2)</f>
      </c>
      <c r="J11" s="21" t="str">
        <f>i11 / 220048.84</f>
      </c>
    </row>
    <row customHeight="1" ht="26" r="12">
      <c r="A12" s="17" t="inlineStr">
        <is>
          <t> 2.2 </t>
        </is>
      </c>
      <c r="B12" s="19" t="inlineStr">
        <is>
          <t> 104793 </t>
        </is>
      </c>
      <c r="C12" s="17" t="inlineStr">
        <is>
          <t>SINAPI</t>
        </is>
      </c>
      <c r="D12" s="17" t="inlineStr">
        <is>
          <t>REMOÇÃO DE CABOS ELÉTRICOS, DE FORMA MANUAL, SEM REAPROVEITAMENTO. AF_09/2023</t>
        </is>
      </c>
      <c r="E12" s="18" t="inlineStr">
        <is>
          <t>M</t>
        </is>
      </c>
      <c r="F12" s="19" t="n">
        <v>400.0</v>
      </c>
      <c r="G12" s="20" t="n">
        <v>0.52</v>
      </c>
      <c r="H12" s="20" t="str">
        <f>TRUNC(G12 * (1 + 25.51 / 100), 2)</f>
      </c>
      <c r="I12" s="20" t="str">
        <f>TRUNC(F12 * h12, 2)</f>
      </c>
      <c r="J12" s="21" t="str">
        <f>i12 / 220048.84</f>
      </c>
    </row>
    <row customHeight="1" ht="26" r="13">
      <c r="A13" s="17" t="inlineStr">
        <is>
          <t> 2.3 </t>
        </is>
      </c>
      <c r="B13" s="19" t="inlineStr">
        <is>
          <t> 97622 </t>
        </is>
      </c>
      <c r="C13" s="17" t="inlineStr">
        <is>
          <t>SINAPI</t>
        </is>
      </c>
      <c r="D13" s="17" t="inlineStr">
        <is>
          <t>DEMOLIÇÃO DE ALVENARIA DE BLOCO FURADO, DE FORMA MANUAL, SEM REAPROVEITAMENTO. AF_09/2023</t>
        </is>
      </c>
      <c r="E13" s="18" t="inlineStr">
        <is>
          <t>m³</t>
        </is>
      </c>
      <c r="F13" s="19" t="n">
        <v>2.8</v>
      </c>
      <c r="G13" s="20" t="n">
        <v>54.51</v>
      </c>
      <c r="H13" s="20" t="str">
        <f>TRUNC(G13 * (1 + 25.51 / 100), 2)</f>
      </c>
      <c r="I13" s="20" t="str">
        <f>TRUNC(F13 * h13, 2)</f>
      </c>
      <c r="J13" s="21" t="str">
        <f>i13 / 220048.84</f>
      </c>
    </row>
    <row customHeight="1" ht="26" r="14">
      <c r="A14" s="17" t="inlineStr">
        <is>
          <t> 2.4 </t>
        </is>
      </c>
      <c r="B14" s="19" t="inlineStr">
        <is>
          <t> 7213 </t>
        </is>
      </c>
      <c r="C14" s="17" t="inlineStr">
        <is>
          <t>ORSE</t>
        </is>
      </c>
      <c r="D14" s="17" t="inlineStr">
        <is>
          <t>Remoção de caixa pre-moldada de concreto para ar condicionado</t>
        </is>
      </c>
      <c r="E14" s="18" t="inlineStr">
        <is>
          <t>un</t>
        </is>
      </c>
      <c r="F14" s="19" t="n">
        <v>5.0</v>
      </c>
      <c r="G14" s="20" t="n">
        <v>17.82</v>
      </c>
      <c r="H14" s="20" t="str">
        <f>TRUNC(G14 * (1 + 25.51 / 100), 2)</f>
      </c>
      <c r="I14" s="20" t="str">
        <f>TRUNC(F14 * h14, 2)</f>
      </c>
      <c r="J14" s="21" t="str">
        <f>i14 / 220048.84</f>
      </c>
    </row>
    <row customHeight="1" ht="24" r="15">
      <c r="A15" s="17" t="inlineStr">
        <is>
          <t> 2.5 </t>
        </is>
      </c>
      <c r="B15" s="19" t="inlineStr">
        <is>
          <t> 8387 </t>
        </is>
      </c>
      <c r="C15" s="17" t="inlineStr">
        <is>
          <t>ORSE</t>
        </is>
      </c>
      <c r="D15" s="17" t="inlineStr">
        <is>
          <t>Remoção de bancada de granito (ou marmore)</t>
        </is>
      </c>
      <c r="E15" s="18" t="inlineStr">
        <is>
          <t>m²</t>
        </is>
      </c>
      <c r="F15" s="19" t="n">
        <v>1.95</v>
      </c>
      <c r="G15" s="20" t="n">
        <v>20.84</v>
      </c>
      <c r="H15" s="20" t="str">
        <f>TRUNC(G15 * (1 + 25.51 / 100), 2)</f>
      </c>
      <c r="I15" s="20" t="str">
        <f>TRUNC(F15 * h15, 2)</f>
      </c>
      <c r="J15" s="21" t="str">
        <f>i15 / 220048.84</f>
      </c>
    </row>
    <row customHeight="1" ht="39" r="16">
      <c r="A16" s="17" t="inlineStr">
        <is>
          <t> 2.6 </t>
        </is>
      </c>
      <c r="B16" s="19" t="inlineStr">
        <is>
          <t> 97634 </t>
        </is>
      </c>
      <c r="C16" s="17" t="inlineStr">
        <is>
          <t>SINAPI</t>
        </is>
      </c>
      <c r="D16" s="17" t="inlineStr">
        <is>
          <t>DEMOLIÇÃO DE REVESTIMENTO CERÂMICO, DE FORMA MECANIZADA COM MARTELETE, SEM REAPROVEITAMENTO. AF_09/2023</t>
        </is>
      </c>
      <c r="E16" s="18" t="inlineStr">
        <is>
          <t>m²</t>
        </is>
      </c>
      <c r="F16" s="19" t="n">
        <v>292.95</v>
      </c>
      <c r="G16" s="20" t="n">
        <v>7.0</v>
      </c>
      <c r="H16" s="20" t="str">
        <f>TRUNC(G16 * (1 + 25.51 / 100), 2)</f>
      </c>
      <c r="I16" s="20" t="str">
        <f>TRUNC(F16 * h16, 2)</f>
      </c>
      <c r="J16" s="21" t="str">
        <f>i16 / 220048.84</f>
      </c>
    </row>
    <row customHeight="1" ht="26" r="17">
      <c r="A17" s="17" t="inlineStr">
        <is>
          <t> 2.7 </t>
        </is>
      </c>
      <c r="B17" s="19" t="inlineStr">
        <is>
          <t> 97632 </t>
        </is>
      </c>
      <c r="C17" s="17" t="inlineStr">
        <is>
          <t>SINAPI</t>
        </is>
      </c>
      <c r="D17" s="17" t="inlineStr">
        <is>
          <t>DEMOLIÇÃO DE RODAPÉ CERÂMICO, DE FORMA MANUAL, SEM REAPROVEITAMENTO. AF_09/2023</t>
        </is>
      </c>
      <c r="E17" s="18" t="inlineStr">
        <is>
          <t>M</t>
        </is>
      </c>
      <c r="F17" s="19" t="n">
        <v>155.8</v>
      </c>
      <c r="G17" s="20" t="n">
        <v>2.51</v>
      </c>
      <c r="H17" s="20" t="str">
        <f>TRUNC(G17 * (1 + 25.51 / 100), 2)</f>
      </c>
      <c r="I17" s="20" t="str">
        <f>TRUNC(F17 * h17, 2)</f>
      </c>
      <c r="J17" s="21" t="str">
        <f>i17 / 220048.84</f>
      </c>
    </row>
    <row customHeight="1" ht="39" r="18">
      <c r="A18" s="17" t="inlineStr">
        <is>
          <t> 2.8 </t>
        </is>
      </c>
      <c r="B18" s="19" t="inlineStr">
        <is>
          <t> 104790 </t>
        </is>
      </c>
      <c r="C18" s="17" t="inlineStr">
        <is>
          <t>SINAPI</t>
        </is>
      </c>
      <c r="D18" s="17" t="inlineStr">
        <is>
          <t>DEMOLIÇÃO DE PISO DE CONCRETO SIMPLES, DE FORMA MECANIZADA COM MARTELETE, SEM REAPROVEITAMENTO. AF_09/2023</t>
        </is>
      </c>
      <c r="E18" s="18" t="inlineStr">
        <is>
          <t>m³</t>
        </is>
      </c>
      <c r="F18" s="19" t="n">
        <v>7.15</v>
      </c>
      <c r="G18" s="20" t="n">
        <v>114.7</v>
      </c>
      <c r="H18" s="20" t="str">
        <f>TRUNC(G18 * (1 + 25.51 / 100), 2)</f>
      </c>
      <c r="I18" s="20" t="str">
        <f>TRUNC(F18 * h18, 2)</f>
      </c>
      <c r="J18" s="21" t="str">
        <f>i18 / 220048.84</f>
      </c>
    </row>
    <row customHeight="1" ht="39" r="19">
      <c r="A19" s="17" t="inlineStr">
        <is>
          <t> 2.9 </t>
        </is>
      </c>
      <c r="B19" s="19" t="inlineStr">
        <is>
          <t> 97647 </t>
        </is>
      </c>
      <c r="C19" s="17" t="inlineStr">
        <is>
          <t>SINAPI</t>
        </is>
      </c>
      <c r="D19" s="17" t="inlineStr">
        <is>
          <t>REMOÇÃO DE TELHAS DE FIBROCIMENTO METÁLICA E CERÂMICA, DE FORMA MANUAL, SEM REAPROVEITAMENTO. AF_09/2023</t>
        </is>
      </c>
      <c r="E19" s="18" t="inlineStr">
        <is>
          <t>m²</t>
        </is>
      </c>
      <c r="F19" s="19" t="n">
        <v>20.0</v>
      </c>
      <c r="G19" s="20" t="n">
        <v>3.4</v>
      </c>
      <c r="H19" s="20" t="str">
        <f>TRUNC(G19 * (1 + 25.51 / 100), 2)</f>
      </c>
      <c r="I19" s="20" t="str">
        <f>TRUNC(F19 * h19, 2)</f>
      </c>
      <c r="J19" s="21" t="str">
        <f>i19 / 220048.84</f>
      </c>
    </row>
    <row customHeight="1" ht="39" r="20">
      <c r="A20" s="17" t="inlineStr">
        <is>
          <t> 2.10 </t>
        </is>
      </c>
      <c r="B20" s="19" t="inlineStr">
        <is>
          <t> 98527 </t>
        </is>
      </c>
      <c r="C20" s="17" t="inlineStr">
        <is>
          <t>SINAPI</t>
        </is>
      </c>
      <c r="D20" s="17" t="inlineStr">
        <is>
          <t>REMOÇÃO DE RAÍZES REMANESCENTES DE TRONCO DE ÁRVORE COM DIÂMETRO MAIOR OU IGUAL A 0,40 M E MENOR QUE 0,60 M. AF_03/2024</t>
        </is>
      </c>
      <c r="E20" s="18" t="inlineStr">
        <is>
          <t>UN</t>
        </is>
      </c>
      <c r="F20" s="19" t="n">
        <v>1.0</v>
      </c>
      <c r="G20" s="20" t="n">
        <v>211.4</v>
      </c>
      <c r="H20" s="20" t="str">
        <f>TRUNC(G20 * (1 + 25.51 / 100), 2)</f>
      </c>
      <c r="I20" s="20" t="str">
        <f>TRUNC(F20 * h20, 2)</f>
      </c>
      <c r="J20" s="21" t="str">
        <f>i20 / 220048.84</f>
      </c>
    </row>
    <row customHeight="1" ht="26" r="21">
      <c r="A21" s="17" t="inlineStr">
        <is>
          <t> 2.11 </t>
        </is>
      </c>
      <c r="B21" s="19" t="inlineStr">
        <is>
          <t> 97644 </t>
        </is>
      </c>
      <c r="C21" s="17" t="inlineStr">
        <is>
          <t>SINAPI</t>
        </is>
      </c>
      <c r="D21" s="17" t="inlineStr">
        <is>
          <t>REMOÇÃO DE PORTAS, DE FORMA MANUAL, SEM REAPROVEITAMENTO. AF_09/2023</t>
        </is>
      </c>
      <c r="E21" s="18" t="inlineStr">
        <is>
          <t>m²</t>
        </is>
      </c>
      <c r="F21" s="19" t="n">
        <v>20.7</v>
      </c>
      <c r="G21" s="20" t="n">
        <v>9.16</v>
      </c>
      <c r="H21" s="20" t="str">
        <f>TRUNC(G21 * (1 + 25.51 / 100), 2)</f>
      </c>
      <c r="I21" s="20" t="str">
        <f>TRUNC(F21 * h21, 2)</f>
      </c>
      <c r="J21" s="21" t="str">
        <f>i21 / 220048.84</f>
      </c>
    </row>
    <row customHeight="1" ht="24" r="22">
      <c r="A22" s="17" t="inlineStr">
        <is>
          <t> 2.12 </t>
        </is>
      </c>
      <c r="B22" s="19" t="inlineStr">
        <is>
          <t> 7991 </t>
        </is>
      </c>
      <c r="C22" s="17" t="inlineStr">
        <is>
          <t>ORSE</t>
        </is>
      </c>
      <c r="D22" s="17" t="inlineStr">
        <is>
          <t>Demolição de rufo ou chapim de concreto</t>
        </is>
      </c>
      <c r="E22" s="18" t="inlineStr">
        <is>
          <t>m</t>
        </is>
      </c>
      <c r="F22" s="19" t="n">
        <v>27.0</v>
      </c>
      <c r="G22" s="20" t="n">
        <v>4.35</v>
      </c>
      <c r="H22" s="20" t="str">
        <f>TRUNC(G22 * (1 + 25.51 / 100), 2)</f>
      </c>
      <c r="I22" s="20" t="str">
        <f>TRUNC(F22 * h22, 2)</f>
      </c>
      <c r="J22" s="21" t="str">
        <f>i22 / 220048.84</f>
      </c>
    </row>
    <row customHeight="1" ht="24" r="23">
      <c r="A23" s="17" t="inlineStr">
        <is>
          <t> 2.13 </t>
        </is>
      </c>
      <c r="B23" s="19" t="inlineStr">
        <is>
          <t> 13404 </t>
        </is>
      </c>
      <c r="C23" s="17" t="inlineStr">
        <is>
          <t>ORSE</t>
        </is>
      </c>
      <c r="D23" s="17" t="inlineStr">
        <is>
          <t>Remoção de cumeeiras para telhas diversas</t>
        </is>
      </c>
      <c r="E23" s="18" t="inlineStr">
        <is>
          <t>m</t>
        </is>
      </c>
      <c r="F23" s="19" t="n">
        <v>5.0</v>
      </c>
      <c r="G23" s="20" t="n">
        <v>9.11</v>
      </c>
      <c r="H23" s="20" t="str">
        <f>TRUNC(G23 * (1 + 25.51 / 100), 2)</f>
      </c>
      <c r="I23" s="20" t="str">
        <f>TRUNC(F23 * h23, 2)</f>
      </c>
      <c r="J23" s="21" t="str">
        <f>i23 / 220048.84</f>
      </c>
    </row>
    <row customHeight="1" ht="26" r="24">
      <c r="A24" s="17" t="inlineStr">
        <is>
          <t> 2.14 </t>
        </is>
      </c>
      <c r="B24" s="19" t="inlineStr">
        <is>
          <t> 97664 </t>
        </is>
      </c>
      <c r="C24" s="17" t="inlineStr">
        <is>
          <t>SINAPI</t>
        </is>
      </c>
      <c r="D24" s="17" t="inlineStr">
        <is>
          <t>REMOÇÃO DE ACESSÓRIOS, DE FORMA MANUAL, SEM REAPROVEITAMENTO. AF_09/2023</t>
        </is>
      </c>
      <c r="E24" s="18" t="inlineStr">
        <is>
          <t>UN</t>
        </is>
      </c>
      <c r="F24" s="19" t="n">
        <v>10.0</v>
      </c>
      <c r="G24" s="20" t="n">
        <v>1.5</v>
      </c>
      <c r="H24" s="20" t="str">
        <f>TRUNC(G24 * (1 + 25.51 / 100), 2)</f>
      </c>
      <c r="I24" s="20" t="str">
        <f>TRUNC(F24 * h24, 2)</f>
      </c>
      <c r="J24" s="21" t="str">
        <f>i24 / 220048.84</f>
      </c>
    </row>
    <row customHeight="1" ht="24" r="25">
      <c r="A25" s="17" t="inlineStr">
        <is>
          <t> 2.15 </t>
        </is>
      </c>
      <c r="B25" s="19" t="inlineStr">
        <is>
          <t> 17 </t>
        </is>
      </c>
      <c r="C25" s="17" t="inlineStr">
        <is>
          <t>ORSE</t>
        </is>
      </c>
      <c r="D25" s="17" t="inlineStr">
        <is>
          <t>Demolição de reboco</t>
        </is>
      </c>
      <c r="E25" s="18" t="inlineStr">
        <is>
          <t>m²</t>
        </is>
      </c>
      <c r="F25" s="19" t="n">
        <v>77.9</v>
      </c>
      <c r="G25" s="20" t="n">
        <v>8.71</v>
      </c>
      <c r="H25" s="20" t="str">
        <f>TRUNC(G25 * (1 + 25.51 / 100), 2)</f>
      </c>
      <c r="I25" s="20" t="str">
        <f>TRUNC(F25 * h25, 2)</f>
      </c>
      <c r="J25" s="21" t="str">
        <f>i25 / 220048.84</f>
      </c>
    </row>
    <row customHeight="1" ht="24" r="26">
      <c r="A26" s="9" t="inlineStr">
        <is>
          <t> 3 </t>
        </is>
      </c>
      <c r="B26" s="9"/>
      <c r="C26" s="9"/>
      <c r="D26" s="9" t="inlineStr">
        <is>
          <t>MOVIMENTO DE TERRA</t>
        </is>
      </c>
      <c r="E26" s="9"/>
      <c r="F26" s="11"/>
      <c r="G26" s="9"/>
      <c r="H26" s="9"/>
      <c r="I26" s="12" t="n">
        <v>298.67</v>
      </c>
      <c r="J26" s="13" t="str">
        <f>i26 / 220048.84</f>
      </c>
    </row>
    <row customHeight="1" ht="39" r="27">
      <c r="A27" s="17" t="inlineStr">
        <is>
          <t> 3.1 </t>
        </is>
      </c>
      <c r="B27" s="19" t="inlineStr">
        <is>
          <t> 96527 </t>
        </is>
      </c>
      <c r="C27" s="17" t="inlineStr">
        <is>
          <t>SINAPI</t>
        </is>
      </c>
      <c r="D27" s="17" t="inlineStr">
        <is>
          <t>ESCAVAÇÃO MANUAL PARA VIGA BALDRAME OU SAPATA CORRIDA (INCLUINDO ESCAVAÇÃO PARA COLOCAÇÃO DE FÔRMAS). AF_01/2024</t>
        </is>
      </c>
      <c r="E27" s="18" t="inlineStr">
        <is>
          <t>m³</t>
        </is>
      </c>
      <c r="F27" s="19" t="n">
        <v>1.5</v>
      </c>
      <c r="G27" s="20" t="n">
        <v>98.63</v>
      </c>
      <c r="H27" s="20" t="str">
        <f>TRUNC(G27 * (1 + 25.51 / 100), 2)</f>
      </c>
      <c r="I27" s="20" t="str">
        <f>TRUNC(F27 * h27, 2)</f>
      </c>
      <c r="J27" s="21" t="str">
        <f>i27 / 220048.84</f>
      </c>
    </row>
    <row customHeight="1" ht="39" r="28">
      <c r="A28" s="17" t="inlineStr">
        <is>
          <t> 3.2 </t>
        </is>
      </c>
      <c r="B28" s="19" t="inlineStr">
        <is>
          <t> 96523 </t>
        </is>
      </c>
      <c r="C28" s="17" t="inlineStr">
        <is>
          <t>SINAPI</t>
        </is>
      </c>
      <c r="D28" s="17" t="inlineStr">
        <is>
          <t>ESCAVAÇÃO MANUAL PARA BLOCO DE COROAMENTO OU SAPATA (INCLUINDO ESCAVAÇÃO PARA COLOCAÇÃO DE FÔRMAS). AF_01/2024</t>
        </is>
      </c>
      <c r="E28" s="18" t="inlineStr">
        <is>
          <t>m³</t>
        </is>
      </c>
      <c r="F28" s="19" t="n">
        <v>0.9</v>
      </c>
      <c r="G28" s="20" t="n">
        <v>89.62</v>
      </c>
      <c r="H28" s="20" t="str">
        <f>TRUNC(G28 * (1 + 25.51 / 100), 2)</f>
      </c>
      <c r="I28" s="20" t="str">
        <f>TRUNC(F28 * h28, 2)</f>
      </c>
      <c r="J28" s="21" t="str">
        <f>i28 / 220048.84</f>
      </c>
    </row>
    <row customHeight="1" ht="26" r="29">
      <c r="A29" s="17" t="inlineStr">
        <is>
          <t> 3.3 </t>
        </is>
      </c>
      <c r="B29" s="19" t="inlineStr">
        <is>
          <t> 104737 </t>
        </is>
      </c>
      <c r="C29" s="17" t="inlineStr">
        <is>
          <t>SINAPI</t>
        </is>
      </c>
      <c r="D29" s="17" t="inlineStr">
        <is>
          <t>REATERRO MANUAL DE VALAS, COM PLACA VIBRATÓRIA. AF_08/2023</t>
        </is>
      </c>
      <c r="E29" s="18" t="inlineStr">
        <is>
          <t>m³</t>
        </is>
      </c>
      <c r="F29" s="19" t="n">
        <v>0.45</v>
      </c>
      <c r="G29" s="20" t="n">
        <v>20.83</v>
      </c>
      <c r="H29" s="20" t="str">
        <f>TRUNC(G29 * (1 + 25.51 / 100), 2)</f>
      </c>
      <c r="I29" s="20" t="str">
        <f>TRUNC(F29 * h29, 2)</f>
      </c>
      <c r="J29" s="21" t="str">
        <f>i29 / 220048.84</f>
      </c>
    </row>
    <row customHeight="1" ht="24" r="30">
      <c r="A30" s="9" t="inlineStr">
        <is>
          <t> 4 </t>
        </is>
      </c>
      <c r="B30" s="9"/>
      <c r="C30" s="9"/>
      <c r="D30" s="9" t="inlineStr">
        <is>
          <t>INFRAESTRUTURA</t>
        </is>
      </c>
      <c r="E30" s="9"/>
      <c r="F30" s="11"/>
      <c r="G30" s="9"/>
      <c r="H30" s="9"/>
      <c r="I30" s="12" t="n">
        <v>8304.11</v>
      </c>
      <c r="J30" s="13" t="str">
        <f>i30 / 220048.84</f>
      </c>
    </row>
    <row customHeight="1" ht="39" r="31">
      <c r="A31" s="17" t="inlineStr">
        <is>
          <t> 4.1 </t>
        </is>
      </c>
      <c r="B31" s="19" t="inlineStr">
        <is>
          <t> 95241 </t>
        </is>
      </c>
      <c r="C31" s="17" t="inlineStr">
        <is>
          <t>SINAPI</t>
        </is>
      </c>
      <c r="D31" s="17" t="inlineStr">
        <is>
          <t>LASTRO DE CONCRETO MAGRO, APLICADO EM PISOS, LAJES SOBRE SOLO OU RADIERS, ESPESSURA DE 5 CM. AF_01/2024</t>
        </is>
      </c>
      <c r="E31" s="18" t="inlineStr">
        <is>
          <t>m²</t>
        </is>
      </c>
      <c r="F31" s="19" t="n">
        <v>4.2</v>
      </c>
      <c r="G31" s="20" t="n">
        <v>44.49</v>
      </c>
      <c r="H31" s="20" t="str">
        <f>TRUNC(G31 * (1 + 25.51 / 100), 2)</f>
      </c>
      <c r="I31" s="20" t="str">
        <f>TRUNC(F31 * h31, 2)</f>
      </c>
      <c r="J31" s="21" t="str">
        <f>i31 / 220048.84</f>
      </c>
    </row>
    <row customHeight="1" ht="39" r="32">
      <c r="A32" s="17" t="inlineStr">
        <is>
          <t> 4.2 </t>
        </is>
      </c>
      <c r="B32" s="19" t="inlineStr">
        <is>
          <t> 94965 </t>
        </is>
      </c>
      <c r="C32" s="17" t="inlineStr">
        <is>
          <t>SINAPI</t>
        </is>
      </c>
      <c r="D32" s="17" t="inlineStr">
        <is>
          <t>CONCRETO FCK = 25MPA, TRAÇO 1:2,3:2,7 (EM MASSA SECA DE CIMENTO/ AREIA MÉDIA/ BRITA 1) - PREPARO MECÂNICO COM BETONEIRA 400 L. AF_05/2021</t>
        </is>
      </c>
      <c r="E32" s="18" t="inlineStr">
        <is>
          <t>m³</t>
        </is>
      </c>
      <c r="F32" s="19" t="n">
        <v>2.71</v>
      </c>
      <c r="G32" s="20" t="n">
        <v>668.2</v>
      </c>
      <c r="H32" s="20" t="str">
        <f>TRUNC(G32 * (1 + 25.51 / 100), 2)</f>
      </c>
      <c r="I32" s="20" t="str">
        <f>TRUNC(F32 * h32, 2)</f>
      </c>
      <c r="J32" s="21" t="str">
        <f>i32 / 220048.84</f>
      </c>
    </row>
    <row customHeight="1" ht="26" r="33">
      <c r="A33" s="17" t="inlineStr">
        <is>
          <t> 4.3 </t>
        </is>
      </c>
      <c r="B33" s="19" t="inlineStr">
        <is>
          <t> 103670 </t>
        </is>
      </c>
      <c r="C33" s="17" t="inlineStr">
        <is>
          <t>SINAPI</t>
        </is>
      </c>
      <c r="D33" s="17" t="inlineStr">
        <is>
          <t>LANÇAMENTO COM USO DE BALDES, ADENSAMENTO E ACABAMENTO DE CONCRETO EM ESTRUTURAS. AF_02/2022</t>
        </is>
      </c>
      <c r="E33" s="18" t="inlineStr">
        <is>
          <t>m³</t>
        </is>
      </c>
      <c r="F33" s="19" t="n">
        <v>2.71</v>
      </c>
      <c r="G33" s="20" t="n">
        <v>281.29</v>
      </c>
      <c r="H33" s="20" t="str">
        <f>TRUNC(G33 * (1 + 25.51 / 100), 2)</f>
      </c>
      <c r="I33" s="20" t="str">
        <f>TRUNC(F33 * h33, 2)</f>
      </c>
      <c r="J33" s="21" t="str">
        <f>i33 / 220048.84</f>
      </c>
    </row>
    <row customHeight="1" ht="26" r="34">
      <c r="A34" s="17" t="inlineStr">
        <is>
          <t> 4.4 </t>
        </is>
      </c>
      <c r="B34" s="19" t="inlineStr">
        <is>
          <t> 96543 </t>
        </is>
      </c>
      <c r="C34" s="17" t="inlineStr">
        <is>
          <t>SINAPI</t>
        </is>
      </c>
      <c r="D34" s="17" t="inlineStr">
        <is>
          <t>ARMAÇÃO DE BLOCO UTILIZANDO AÇO CA-60 DE 5 MM - MONTAGEM. AF_01/2024</t>
        </is>
      </c>
      <c r="E34" s="18" t="inlineStr">
        <is>
          <t>KG</t>
        </is>
      </c>
      <c r="F34" s="19" t="n">
        <v>24.09</v>
      </c>
      <c r="G34" s="20" t="n">
        <v>20.24</v>
      </c>
      <c r="H34" s="20" t="str">
        <f>TRUNC(G34 * (1 + 25.51 / 100), 2)</f>
      </c>
      <c r="I34" s="20" t="str">
        <f>TRUNC(F34 * h34, 2)</f>
      </c>
      <c r="J34" s="21" t="str">
        <f>i34 / 220048.84</f>
      </c>
    </row>
    <row customHeight="1" ht="26" r="35">
      <c r="A35" s="17" t="inlineStr">
        <is>
          <t> 4.5 </t>
        </is>
      </c>
      <c r="B35" s="19" t="inlineStr">
        <is>
          <t> 96546 </t>
        </is>
      </c>
      <c r="C35" s="17" t="inlineStr">
        <is>
          <t>SINAPI</t>
        </is>
      </c>
      <c r="D35" s="17" t="inlineStr">
        <is>
          <t>ARMAÇÃO DE BLOCO UTILIZANDO AÇO CA-50 DE 10 MM - MONTAGEM. AF_01/2024</t>
        </is>
      </c>
      <c r="E35" s="18" t="inlineStr">
        <is>
          <t>KG</t>
        </is>
      </c>
      <c r="F35" s="19" t="n">
        <v>62.52</v>
      </c>
      <c r="G35" s="20" t="n">
        <v>14.9</v>
      </c>
      <c r="H35" s="20" t="str">
        <f>TRUNC(G35 * (1 + 25.51 / 100), 2)</f>
      </c>
      <c r="I35" s="20" t="str">
        <f>TRUNC(F35 * h35, 2)</f>
      </c>
      <c r="J35" s="21" t="str">
        <f>i35 / 220048.84</f>
      </c>
    </row>
    <row customHeight="1" ht="39" r="36">
      <c r="A36" s="17" t="inlineStr">
        <is>
          <t> 4.6 </t>
        </is>
      </c>
      <c r="B36" s="19" t="inlineStr">
        <is>
          <t> 11668 </t>
        </is>
      </c>
      <c r="C36" s="17" t="inlineStr">
        <is>
          <t>ORSE</t>
        </is>
      </c>
      <c r="D36" s="17" t="inlineStr">
        <is>
          <t>Forma plana para estruturas, em compensado plastificado de 12mm, 05 usos, exclusive escoramento - Revisada 07.2015</t>
        </is>
      </c>
      <c r="E36" s="18" t="inlineStr">
        <is>
          <t>m²</t>
        </is>
      </c>
      <c r="F36" s="19" t="n">
        <v>15.9</v>
      </c>
      <c r="G36" s="20" t="n">
        <v>48.23</v>
      </c>
      <c r="H36" s="20" t="str">
        <f>TRUNC(G36 * (1 + 25.51 / 100), 2)</f>
      </c>
      <c r="I36" s="20" t="str">
        <f>TRUNC(F36 * h36, 2)</f>
      </c>
      <c r="J36" s="21" t="str">
        <f>i36 / 220048.84</f>
      </c>
    </row>
    <row customHeight="1" ht="26" r="37">
      <c r="A37" s="17" t="inlineStr">
        <is>
          <t> 4.7 </t>
        </is>
      </c>
      <c r="B37" s="19" t="inlineStr">
        <is>
          <t> 96545 </t>
        </is>
      </c>
      <c r="C37" s="17" t="inlineStr">
        <is>
          <t>SINAPI</t>
        </is>
      </c>
      <c r="D37" s="17" t="inlineStr">
        <is>
          <t>ARMAÇÃO DE BLOCO UTILIZANDO AÇO CA-50 DE 8 MM - MONTAGEM. AF_01/2024</t>
        </is>
      </c>
      <c r="E37" s="18" t="inlineStr">
        <is>
          <t>KG</t>
        </is>
      </c>
      <c r="F37" s="19" t="n">
        <v>98.81</v>
      </c>
      <c r="G37" s="20" t="n">
        <v>16.91</v>
      </c>
      <c r="H37" s="20" t="str">
        <f>TRUNC(G37 * (1 + 25.51 / 100), 2)</f>
      </c>
      <c r="I37" s="20" t="str">
        <f>TRUNC(F37 * h37, 2)</f>
      </c>
      <c r="J37" s="21" t="str">
        <f>i37 / 220048.84</f>
      </c>
    </row>
    <row customHeight="1" ht="24" r="38">
      <c r="A38" s="9" t="inlineStr">
        <is>
          <t> 5 </t>
        </is>
      </c>
      <c r="B38" s="9"/>
      <c r="C38" s="9"/>
      <c r="D38" s="9" t="inlineStr">
        <is>
          <t>SUPERESTRUTURA</t>
        </is>
      </c>
      <c r="E38" s="9"/>
      <c r="F38" s="11"/>
      <c r="G38" s="9"/>
      <c r="H38" s="9"/>
      <c r="I38" s="12" t="n">
        <v>6612.83</v>
      </c>
      <c r="J38" s="13" t="str">
        <f>i38 / 220048.84</f>
      </c>
    </row>
    <row customHeight="1" ht="39" r="39">
      <c r="A39" s="17" t="inlineStr">
        <is>
          <t> 5.1 </t>
        </is>
      </c>
      <c r="B39" s="19" t="inlineStr">
        <is>
          <t> 94965 </t>
        </is>
      </c>
      <c r="C39" s="17" t="inlineStr">
        <is>
          <t>SINAPI</t>
        </is>
      </c>
      <c r="D39" s="17" t="inlineStr">
        <is>
          <t>CONCRETO FCK = 25MPA, TRAÇO 1:2,3:2,7 (EM MASSA SECA DE CIMENTO/ AREIA MÉDIA/ BRITA 1) - PREPARO MECÂNICO COM BETONEIRA 400 L. AF_05/2021</t>
        </is>
      </c>
      <c r="E39" s="18" t="inlineStr">
        <is>
          <t>m³</t>
        </is>
      </c>
      <c r="F39" s="19" t="n">
        <v>1.59</v>
      </c>
      <c r="G39" s="20" t="n">
        <v>668.2</v>
      </c>
      <c r="H39" s="20" t="str">
        <f>TRUNC(G39 * (1 + 25.51 / 100), 2)</f>
      </c>
      <c r="I39" s="20" t="str">
        <f>TRUNC(F39 * h39, 2)</f>
      </c>
      <c r="J39" s="21" t="str">
        <f>i39 / 220048.84</f>
      </c>
    </row>
    <row customHeight="1" ht="26" r="40">
      <c r="A40" s="17" t="inlineStr">
        <is>
          <t> 5.2 </t>
        </is>
      </c>
      <c r="B40" s="19" t="inlineStr">
        <is>
          <t> 103670 </t>
        </is>
      </c>
      <c r="C40" s="17" t="inlineStr">
        <is>
          <t>SINAPI</t>
        </is>
      </c>
      <c r="D40" s="17" t="inlineStr">
        <is>
          <t>LANÇAMENTO COM USO DE BALDES, ADENSAMENTO E ACABAMENTO DE CONCRETO EM ESTRUTURAS. AF_02/2022</t>
        </is>
      </c>
      <c r="E40" s="18" t="inlineStr">
        <is>
          <t>m³</t>
        </is>
      </c>
      <c r="F40" s="19" t="n">
        <v>1.59</v>
      </c>
      <c r="G40" s="20" t="n">
        <v>281.29</v>
      </c>
      <c r="H40" s="20" t="str">
        <f>TRUNC(G40 * (1 + 25.51 / 100), 2)</f>
      </c>
      <c r="I40" s="20" t="str">
        <f>TRUNC(F40 * h40, 2)</f>
      </c>
      <c r="J40" s="21" t="str">
        <f>i40 / 220048.84</f>
      </c>
    </row>
    <row customHeight="1" ht="39" r="41">
      <c r="A41" s="17" t="inlineStr">
        <is>
          <t> 5.3 </t>
        </is>
      </c>
      <c r="B41" s="19" t="inlineStr">
        <is>
          <t> 92759 </t>
        </is>
      </c>
      <c r="C41" s="17" t="inlineStr">
        <is>
          <t>SINAPI</t>
        </is>
      </c>
      <c r="D41" s="17" t="inlineStr">
        <is>
          <t>ARMAÇÃO DE PILAR OU VIGA DE ESTRUTURA CONVENCIONAL DE CONCRETO ARMADO UTILIZANDO AÇO CA-60 DE 5,0 MM - MONTAGEM. AF_06/2022</t>
        </is>
      </c>
      <c r="E41" s="18" t="inlineStr">
        <is>
          <t>KG</t>
        </is>
      </c>
      <c r="F41" s="19" t="n">
        <v>44.89</v>
      </c>
      <c r="G41" s="20" t="n">
        <v>14.82</v>
      </c>
      <c r="H41" s="20" t="str">
        <f>TRUNC(G41 * (1 + 25.51 / 100), 2)</f>
      </c>
      <c r="I41" s="20" t="str">
        <f>TRUNC(F41 * h41, 2)</f>
      </c>
      <c r="J41" s="21" t="str">
        <f>i41 / 220048.84</f>
      </c>
    </row>
    <row customHeight="1" ht="39" r="42">
      <c r="A42" s="17" t="inlineStr">
        <is>
          <t> 5.4 </t>
        </is>
      </c>
      <c r="B42" s="19" t="inlineStr">
        <is>
          <t> 92761 </t>
        </is>
      </c>
      <c r="C42" s="17" t="inlineStr">
        <is>
          <t>SINAPI</t>
        </is>
      </c>
      <c r="D42" s="17" t="inlineStr">
        <is>
          <t>ARMAÇÃO DE PILAR OU VIGA DE ESTRUTURA CONVENCIONAL DE CONCRETO ARMADO UTILIZANDO AÇO CA-50 DE 8,0 MM - MONTAGEM. AF_06/2022</t>
        </is>
      </c>
      <c r="E42" s="18" t="inlineStr">
        <is>
          <t>KG</t>
        </is>
      </c>
      <c r="F42" s="19" t="n">
        <v>49.97</v>
      </c>
      <c r="G42" s="20" t="n">
        <v>13.5</v>
      </c>
      <c r="H42" s="20" t="str">
        <f>TRUNC(G42 * (1 + 25.51 / 100), 2)</f>
      </c>
      <c r="I42" s="20" t="str">
        <f>TRUNC(F42 * h42, 2)</f>
      </c>
      <c r="J42" s="21" t="str">
        <f>i42 / 220048.84</f>
      </c>
    </row>
    <row customHeight="1" ht="39" r="43">
      <c r="A43" s="17" t="inlineStr">
        <is>
          <t> 5.5 </t>
        </is>
      </c>
      <c r="B43" s="19" t="inlineStr">
        <is>
          <t> 92762 </t>
        </is>
      </c>
      <c r="C43" s="17" t="inlineStr">
        <is>
          <t>SINAPI</t>
        </is>
      </c>
      <c r="D43" s="17" t="inlineStr">
        <is>
          <t>ARMAÇÃO DE PILAR OU VIGA DE ESTRUTURA CONVENCIONAL DE CONCRETO ARMADO UTILIZANDO AÇO CA-50 DE 10,0 MM - MONTAGEM. AF_06/2022</t>
        </is>
      </c>
      <c r="E43" s="18" t="inlineStr">
        <is>
          <t>KG</t>
        </is>
      </c>
      <c r="F43" s="19" t="n">
        <v>102.19</v>
      </c>
      <c r="G43" s="20" t="n">
        <v>12.13</v>
      </c>
      <c r="H43" s="20" t="str">
        <f>TRUNC(G43 * (1 + 25.51 / 100), 2)</f>
      </c>
      <c r="I43" s="20" t="str">
        <f>TRUNC(F43 * h43, 2)</f>
      </c>
      <c r="J43" s="21" t="str">
        <f>i43 / 220048.84</f>
      </c>
    </row>
    <row customHeight="1" ht="39" r="44">
      <c r="A44" s="17" t="inlineStr">
        <is>
          <t> 5.6 </t>
        </is>
      </c>
      <c r="B44" s="19" t="inlineStr">
        <is>
          <t> 3739 </t>
        </is>
      </c>
      <c r="C44" s="17" t="inlineStr">
        <is>
          <t>ORSE</t>
        </is>
      </c>
      <c r="D44" s="17" t="inlineStr">
        <is>
          <t>Forma plana para estruturas, em compensado plastificado de 12mm, 12 usos, inclusive escoramento - Revisada 07.2015</t>
        </is>
      </c>
      <c r="E44" s="18" t="inlineStr">
        <is>
          <t>m²</t>
        </is>
      </c>
      <c r="F44" s="19" t="n">
        <v>28.92</v>
      </c>
      <c r="G44" s="20" t="n">
        <v>40.81</v>
      </c>
      <c r="H44" s="20" t="str">
        <f>TRUNC(G44 * (1 + 25.51 / 100), 2)</f>
      </c>
      <c r="I44" s="20" t="str">
        <f>TRUNC(F44 * h44, 2)</f>
      </c>
      <c r="J44" s="21" t="str">
        <f>i44 / 220048.84</f>
      </c>
    </row>
    <row customHeight="1" ht="24" r="45">
      <c r="A45" s="9" t="inlineStr">
        <is>
          <t> 6 </t>
        </is>
      </c>
      <c r="B45" s="9"/>
      <c r="C45" s="9"/>
      <c r="D45" s="9" t="inlineStr">
        <is>
          <t>PAREDES, PAINEIS E VEDAÇÕES</t>
        </is>
      </c>
      <c r="E45" s="9"/>
      <c r="F45" s="11"/>
      <c r="G45" s="9"/>
      <c r="H45" s="9"/>
      <c r="I45" s="12" t="n">
        <v>5363.69</v>
      </c>
      <c r="J45" s="13" t="str">
        <f>i45 / 220048.84</f>
      </c>
    </row>
    <row customHeight="1" ht="52" r="46">
      <c r="A46" s="17" t="inlineStr">
        <is>
          <t> 6.1 </t>
        </is>
      </c>
      <c r="B46" s="19" t="inlineStr">
        <is>
          <t> 103328 </t>
        </is>
      </c>
      <c r="C46" s="17" t="inlineStr">
        <is>
          <t>SINAPI</t>
        </is>
      </c>
      <c r="D46" s="17" t="inlineStr">
        <is>
          <t>ALVENARIA DE VEDAÇÃO DE BLOCOS CERÂMICOS FURADOS NA HORIZONTAL DE 9X19X19 CM (ESPESSURA 9 CM) E ARGAMASSA DE ASSENTAMENTO COM PREPARO EM BETONEIRA. AF_12/2021</t>
        </is>
      </c>
      <c r="E46" s="18" t="inlineStr">
        <is>
          <t>m²</t>
        </is>
      </c>
      <c r="F46" s="19" t="n">
        <v>48.2</v>
      </c>
      <c r="G46" s="20" t="n">
        <v>88.67</v>
      </c>
      <c r="H46" s="20" t="str">
        <f>TRUNC(G46 * (1 + 25.51 / 100), 2)</f>
      </c>
      <c r="I46" s="20" t="str">
        <f>TRUNC(F46 * h46, 2)</f>
      </c>
      <c r="J46" s="21" t="str">
        <f>i46 / 220048.84</f>
      </c>
    </row>
    <row customHeight="1" ht="24" r="47">
      <c r="A47" s="9" t="inlineStr">
        <is>
          <t> 7 </t>
        </is>
      </c>
      <c r="B47" s="9"/>
      <c r="C47" s="9"/>
      <c r="D47" s="9" t="inlineStr">
        <is>
          <t>COBERTURA</t>
        </is>
      </c>
      <c r="E47" s="9"/>
      <c r="F47" s="11"/>
      <c r="G47" s="9"/>
      <c r="H47" s="9"/>
      <c r="I47" s="12" t="n">
        <v>19149.92</v>
      </c>
      <c r="J47" s="13" t="str">
        <f>i47 / 220048.84</f>
      </c>
    </row>
    <row customHeight="1" ht="52" r="48">
      <c r="A48" s="17" t="inlineStr">
        <is>
          <t> 7.1 </t>
        </is>
      </c>
      <c r="B48" s="19" t="inlineStr">
        <is>
          <t> 94219 </t>
        </is>
      </c>
      <c r="C48" s="17" t="inlineStr">
        <is>
          <t>SINAPI</t>
        </is>
      </c>
      <c r="D48" s="17" t="inlineStr">
        <is>
          <t>CUMEEIRA E ESPIGÃO PARA TELHA CERÂMICA EMBOÇADA COM ARGAMASSA TRAÇO 1:2:9 (CIMENTO, CAL E AREIA), PARA TELHADOS COM MAIS DE 2 ÁGUAS, INCLUSO TRANSPORTE VERTICAL. AF_07/2019</t>
        </is>
      </c>
      <c r="E48" s="18" t="inlineStr">
        <is>
          <t>M</t>
        </is>
      </c>
      <c r="F48" s="19" t="n">
        <v>5.8</v>
      </c>
      <c r="G48" s="20" t="n">
        <v>29.31</v>
      </c>
      <c r="H48" s="20" t="str">
        <f>TRUNC(G48 * (1 + 25.51 / 100), 2)</f>
      </c>
      <c r="I48" s="20" t="str">
        <f>TRUNC(F48 * h48, 2)</f>
      </c>
      <c r="J48" s="21" t="str">
        <f>i48 / 220048.84</f>
      </c>
    </row>
    <row customHeight="1" ht="39" r="49">
      <c r="A49" s="17" t="inlineStr">
        <is>
          <t> 7.2 </t>
        </is>
      </c>
      <c r="B49" s="19" t="inlineStr">
        <is>
          <t> 13745 </t>
        </is>
      </c>
      <c r="C49" s="17" t="inlineStr">
        <is>
          <t>ORSE</t>
        </is>
      </c>
      <c r="D49" s="17" t="inlineStr">
        <is>
          <t>Cumeeira em galvalume para telha trapezoidal galvalume standard, com 40 cm decada lado, e = 0,43mm, cor natural</t>
        </is>
      </c>
      <c r="E49" s="18" t="inlineStr">
        <is>
          <t>m</t>
        </is>
      </c>
      <c r="F49" s="19" t="n">
        <v>5.0</v>
      </c>
      <c r="G49" s="20" t="n">
        <v>110.18</v>
      </c>
      <c r="H49" s="20" t="str">
        <f>TRUNC(G49 * (1 + 25.51 / 100), 2)</f>
      </c>
      <c r="I49" s="20" t="str">
        <f>TRUNC(F49 * h49, 2)</f>
      </c>
      <c r="J49" s="21" t="str">
        <f>i49 / 220048.84</f>
      </c>
    </row>
    <row customHeight="1" ht="52" r="50">
      <c r="A50" s="17" t="inlineStr">
        <is>
          <t> 7.3 </t>
        </is>
      </c>
      <c r="B50" s="19" t="inlineStr">
        <is>
          <t> 92539 </t>
        </is>
      </c>
      <c r="C50" s="17" t="inlineStr">
        <is>
          <t>SINAPI</t>
        </is>
      </c>
      <c r="D50" s="17" t="inlineStr">
        <is>
          <t>TRAMA DE MADEIRA COMPOSTA POR RIPAS, CAIBROS E TERÇAS PARA TELHADOS DE ATÉ 2 ÁGUAS PARA TELHA DE ENCAIXE DE CERÂMICA OU DE CONCRETO, INCLUSO TRANSPORTE VERTICAL. AF_07/2019</t>
        </is>
      </c>
      <c r="E50" s="18" t="inlineStr">
        <is>
          <t>m²</t>
        </is>
      </c>
      <c r="F50" s="19" t="n">
        <v>23.5</v>
      </c>
      <c r="G50" s="20" t="n">
        <v>56.13</v>
      </c>
      <c r="H50" s="20" t="str">
        <f>TRUNC(G50 * (1 + 25.51 / 100), 2)</f>
      </c>
      <c r="I50" s="20" t="str">
        <f>TRUNC(F50 * h50, 2)</f>
      </c>
      <c r="J50" s="21" t="str">
        <f>i50 / 220048.84</f>
      </c>
    </row>
    <row customHeight="1" ht="26" r="51">
      <c r="A51" s="17" t="inlineStr">
        <is>
          <t> 7.4 </t>
        </is>
      </c>
      <c r="B51" s="19" t="inlineStr">
        <is>
          <t> 9435 </t>
        </is>
      </c>
      <c r="C51" s="17" t="inlineStr">
        <is>
          <t>ORSE</t>
        </is>
      </c>
      <c r="D51" s="17" t="inlineStr">
        <is>
          <t>Rufo em chapa aço galvanizado nº24 com desenvolvimento 33cm - Rev. 01</t>
        </is>
      </c>
      <c r="E51" s="18" t="inlineStr">
        <is>
          <t>m</t>
        </is>
      </c>
      <c r="F51" s="19" t="n">
        <v>36.1</v>
      </c>
      <c r="G51" s="20" t="n">
        <v>42.84</v>
      </c>
      <c r="H51" s="20" t="str">
        <f>TRUNC(G51 * (1 + 25.51 / 100), 2)</f>
      </c>
      <c r="I51" s="20" t="str">
        <f>TRUNC(F51 * h51, 2)</f>
      </c>
      <c r="J51" s="21" t="str">
        <f>i51 / 220048.84</f>
      </c>
    </row>
    <row customHeight="1" ht="26" r="52">
      <c r="A52" s="17" t="inlineStr">
        <is>
          <t> 7.5 </t>
        </is>
      </c>
      <c r="B52" s="19" t="inlineStr">
        <is>
          <t> 101979 </t>
        </is>
      </c>
      <c r="C52" s="17" t="inlineStr">
        <is>
          <t>SINAPI</t>
        </is>
      </c>
      <c r="D52" s="17" t="inlineStr">
        <is>
          <t>CHAPIM (RUFO CAPA) EM AÇO GALVANIZADO, CORTE 33. AF_11/2020</t>
        </is>
      </c>
      <c r="E52" s="18" t="inlineStr">
        <is>
          <t>M</t>
        </is>
      </c>
      <c r="F52" s="19" t="n">
        <v>99.5</v>
      </c>
      <c r="G52" s="20" t="n">
        <v>44.96</v>
      </c>
      <c r="H52" s="20" t="str">
        <f>TRUNC(G52 * (1 + 25.51 / 100), 2)</f>
      </c>
      <c r="I52" s="20" t="str">
        <f>TRUNC(F52 * h52, 2)</f>
      </c>
      <c r="J52" s="21" t="str">
        <f>i52 / 220048.84</f>
      </c>
    </row>
    <row customHeight="1" ht="65" r="53">
      <c r="A53" s="17" t="inlineStr">
        <is>
          <t> 7.6 </t>
        </is>
      </c>
      <c r="B53" s="19" t="inlineStr">
        <is>
          <t> 12407 </t>
        </is>
      </c>
      <c r="C53" s="17" t="inlineStr">
        <is>
          <t>ORSE</t>
        </is>
      </c>
      <c r="D53" s="17" t="inlineStr">
        <is>
          <t>Treliça metálica Pratt, em perfis UDC75x38x3,84kg/m, diagonais tracionadas, p/ telhados em duas águas sem lanternin, vãos 6,00  a 10,00m, pintura 01 demãode epoxi fundo óxido de ferro + 02 demãos de esmalte epoxi branco - Preço porkilo executado</t>
        </is>
      </c>
      <c r="E53" s="18" t="inlineStr">
        <is>
          <t>kg</t>
        </is>
      </c>
      <c r="F53" s="19" t="n">
        <v>236.56</v>
      </c>
      <c r="G53" s="20" t="n">
        <v>19.71</v>
      </c>
      <c r="H53" s="20" t="str">
        <f>TRUNC(G53 * (1 + 25.51 / 100), 2)</f>
      </c>
      <c r="I53" s="20" t="str">
        <f>TRUNC(F53 * h53, 2)</f>
      </c>
      <c r="J53" s="21" t="str">
        <f>i53 / 220048.84</f>
      </c>
    </row>
    <row customHeight="1" ht="39" r="54">
      <c r="A54" s="17" t="inlineStr">
        <is>
          <t> 7.7 </t>
        </is>
      </c>
      <c r="B54" s="19" t="inlineStr">
        <is>
          <t> 94195 </t>
        </is>
      </c>
      <c r="C54" s="17" t="inlineStr">
        <is>
          <t>SINAPI</t>
        </is>
      </c>
      <c r="D54" s="17" t="inlineStr">
        <is>
          <t>TELHAMENTO COM TELHA CERÂMICA DE ENCAIXE, TIPO PORTUGUESA, COM ATÉ 2 ÁGUAS, INCLUSO TRANSPORTE VERTICAL. AF_07/2019</t>
        </is>
      </c>
      <c r="E54" s="18" t="inlineStr">
        <is>
          <t>m²</t>
        </is>
      </c>
      <c r="F54" s="19" t="n">
        <v>23.5</v>
      </c>
      <c r="G54" s="20" t="n">
        <v>26.44</v>
      </c>
      <c r="H54" s="20" t="str">
        <f>TRUNC(G54 * (1 + 25.51 / 100), 2)</f>
      </c>
      <c r="I54" s="20" t="str">
        <f>TRUNC(F54 * h54, 2)</f>
      </c>
      <c r="J54" s="21" t="str">
        <f>i54 / 220048.84</f>
      </c>
    </row>
    <row customHeight="1" ht="26" r="55">
      <c r="A55" s="17" t="inlineStr">
        <is>
          <t> 7.8 </t>
        </is>
      </c>
      <c r="B55" s="19" t="inlineStr">
        <is>
          <t> 94213 </t>
        </is>
      </c>
      <c r="C55" s="17" t="inlineStr">
        <is>
          <t>SINAPI</t>
        </is>
      </c>
      <c r="D55" s="17" t="inlineStr">
        <is>
          <t>TELHAMENTO COM TELHA DE AÇO/ALUMÍNIO E = 0,5 MM, COM ATÉ 2 ÁGUAS, INCLUSO IÇAMENTO. AF_07/2019</t>
        </is>
      </c>
      <c r="E55" s="18" t="inlineStr">
        <is>
          <t>m²</t>
        </is>
      </c>
      <c r="F55" s="19" t="n">
        <v>20.0</v>
      </c>
      <c r="G55" s="20" t="n">
        <v>62.36</v>
      </c>
      <c r="H55" s="20" t="str">
        <f>TRUNC(G55 * (1 + 25.51 / 100), 2)</f>
      </c>
      <c r="I55" s="20" t="str">
        <f>TRUNC(F55 * h55, 2)</f>
      </c>
      <c r="J55" s="21" t="str">
        <f>i55 / 220048.84</f>
      </c>
    </row>
    <row customHeight="1" ht="39" r="56">
      <c r="A56" s="17" t="inlineStr">
        <is>
          <t> 7.9 </t>
        </is>
      </c>
      <c r="B56" s="19" t="inlineStr">
        <is>
          <t> C4910 </t>
        </is>
      </c>
      <c r="C56" s="17" t="inlineStr">
        <is>
          <t>SEINFRA</t>
        </is>
      </c>
      <c r="D56" s="17" t="inlineStr">
        <is>
          <t>CALHA EM CHAPA DE ALUMÍNIO LISA 22, ESP.=0,71MM, DESENVOLVIMENTO VARIAVEL, INCLUSO TRANSPORTE VERTICAL</t>
        </is>
      </c>
      <c r="E56" s="18" t="inlineStr">
        <is>
          <t>m²</t>
        </is>
      </c>
      <c r="F56" s="19" t="n">
        <v>3.8</v>
      </c>
      <c r="G56" s="20" t="n">
        <v>176.19</v>
      </c>
      <c r="H56" s="20" t="str">
        <f>TRUNC(G56 * (1 + 25.51 / 100), 2)</f>
      </c>
      <c r="I56" s="20" t="str">
        <f>TRUNC(F56 * h56, 2)</f>
      </c>
      <c r="J56" s="21" t="str">
        <f>i56 / 220048.84</f>
      </c>
    </row>
    <row customHeight="1" ht="24" r="57">
      <c r="A57" s="9" t="inlineStr">
        <is>
          <t> 8 </t>
        </is>
      </c>
      <c r="B57" s="9"/>
      <c r="C57" s="9"/>
      <c r="D57" s="9" t="inlineStr">
        <is>
          <t>PISOS E PAVIMENTAÇÕES</t>
        </is>
      </c>
      <c r="E57" s="9"/>
      <c r="F57" s="11"/>
      <c r="G57" s="9"/>
      <c r="H57" s="9"/>
      <c r="I57" s="12" t="n">
        <v>50322.07</v>
      </c>
      <c r="J57" s="13" t="str">
        <f>i57 / 220048.84</f>
      </c>
    </row>
    <row customHeight="1" ht="39" r="58">
      <c r="A58" s="17" t="inlineStr">
        <is>
          <t> 8.1 </t>
        </is>
      </c>
      <c r="B58" s="19" t="inlineStr">
        <is>
          <t> 11805 </t>
        </is>
      </c>
      <c r="C58" s="17" t="inlineStr">
        <is>
          <t>ORSE</t>
        </is>
      </c>
      <c r="D58" s="17" t="inlineStr">
        <is>
          <t>Piso em concreto simples desempolado, fck = 21 MPa, e = 7 cm, com forma em quadros 1,0x1,0m, para juntas de concretagem - tres usos</t>
        </is>
      </c>
      <c r="E58" s="18" t="inlineStr">
        <is>
          <t>m²</t>
        </is>
      </c>
      <c r="F58" s="19" t="n">
        <v>219.7</v>
      </c>
      <c r="G58" s="20" t="n">
        <v>56.67</v>
      </c>
      <c r="H58" s="20" t="str">
        <f>TRUNC(G58 * (1 + 25.51 / 100), 2)</f>
      </c>
      <c r="I58" s="20" t="str">
        <f>TRUNC(F58 * h58, 2)</f>
      </c>
      <c r="J58" s="21" t="str">
        <f>i58 / 220048.84</f>
      </c>
    </row>
    <row customHeight="1" ht="39" r="59">
      <c r="A59" s="17" t="inlineStr">
        <is>
          <t> 8.2 </t>
        </is>
      </c>
      <c r="B59" s="19" t="inlineStr">
        <is>
          <t> 87262 </t>
        </is>
      </c>
      <c r="C59" s="17" t="inlineStr">
        <is>
          <t>SINAPI</t>
        </is>
      </c>
      <c r="D59" s="17" t="inlineStr">
        <is>
          <t>REVESTIMENTO CERÂMICO PARA PISO COM PLACAS TIPO PORCELANATO DE DIMENSÕES 60X60 CM APLICADA EM AMBIENTES DE ÁREA ENTRE 5 M² E 10 M². AF_02/2023_PE</t>
        </is>
      </c>
      <c r="E59" s="18" t="inlineStr">
        <is>
          <t>m²</t>
        </is>
      </c>
      <c r="F59" s="19" t="n">
        <v>33.5</v>
      </c>
      <c r="G59" s="20" t="n">
        <v>126.72</v>
      </c>
      <c r="H59" s="20" t="str">
        <f>TRUNC(G59 * (1 + 25.51 / 100), 2)</f>
      </c>
      <c r="I59" s="20" t="str">
        <f>TRUNC(F59 * h59, 2)</f>
      </c>
      <c r="J59" s="21" t="str">
        <f>i59 / 220048.84</f>
      </c>
    </row>
    <row customHeight="1" ht="39" r="60">
      <c r="A60" s="17" t="inlineStr">
        <is>
          <t> 8.3 </t>
        </is>
      </c>
      <c r="B60" s="19" t="inlineStr">
        <is>
          <t> 87263 </t>
        </is>
      </c>
      <c r="C60" s="17" t="inlineStr">
        <is>
          <t>SINAPI</t>
        </is>
      </c>
      <c r="D60" s="17" t="inlineStr">
        <is>
          <t>REVESTIMENTO CERÂMICO PARA PISO COM PLACAS TIPO PORCELANATO DE DIMENSÕES 60X60 CM APLICADA EM AMBIENTES DE ÁREA MAIOR QUE 10 M². AF_02/2023_PE</t>
        </is>
      </c>
      <c r="E60" s="18" t="inlineStr">
        <is>
          <t>m²</t>
        </is>
      </c>
      <c r="F60" s="19" t="n">
        <v>187.8</v>
      </c>
      <c r="G60" s="20" t="n">
        <v>117.29</v>
      </c>
      <c r="H60" s="20" t="str">
        <f>TRUNC(G60 * (1 + 25.51 / 100), 2)</f>
      </c>
      <c r="I60" s="20" t="str">
        <f>TRUNC(F60 * h60, 2)</f>
      </c>
      <c r="J60" s="21" t="str">
        <f>i60 / 220048.84</f>
      </c>
    </row>
    <row customHeight="1" ht="26" r="61">
      <c r="A61" s="17" t="inlineStr">
        <is>
          <t> 8.4 </t>
        </is>
      </c>
      <c r="B61" s="19" t="inlineStr">
        <is>
          <t> 88649 </t>
        </is>
      </c>
      <c r="C61" s="17" t="inlineStr">
        <is>
          <t>SINAPI</t>
        </is>
      </c>
      <c r="D61" s="17" t="inlineStr">
        <is>
          <t>RODAPÉ CERÂMICO DE 7CM DE ALTURA COM PLACAS TIPO ESMALTADA DE DIMENSÕES 45X45CM. AF_02/2023</t>
        </is>
      </c>
      <c r="E61" s="18" t="inlineStr">
        <is>
          <t>M</t>
        </is>
      </c>
      <c r="F61" s="19" t="n">
        <v>155.8</v>
      </c>
      <c r="G61" s="20" t="n">
        <v>8.82</v>
      </c>
      <c r="H61" s="20" t="str">
        <f>TRUNC(G61 * (1 + 25.51 / 100), 2)</f>
      </c>
      <c r="I61" s="20" t="str">
        <f>TRUNC(F61 * h61, 2)</f>
      </c>
      <c r="J61" s="21" t="str">
        <f>i61 / 220048.84</f>
      </c>
    </row>
    <row customHeight="1" ht="24" r="62">
      <c r="A62" s="9" t="inlineStr">
        <is>
          <t> 9 </t>
        </is>
      </c>
      <c r="B62" s="9"/>
      <c r="C62" s="9"/>
      <c r="D62" s="9" t="inlineStr">
        <is>
          <t>REVESTIMENTOS</t>
        </is>
      </c>
      <c r="E62" s="9"/>
      <c r="F62" s="11"/>
      <c r="G62" s="9"/>
      <c r="H62" s="9"/>
      <c r="I62" s="12" t="n">
        <v>19016.92</v>
      </c>
      <c r="J62" s="13" t="str">
        <f>i62 / 220048.84</f>
      </c>
    </row>
    <row customHeight="1" ht="52" r="63">
      <c r="A63" s="17" t="inlineStr">
        <is>
          <t> 9.1 </t>
        </is>
      </c>
      <c r="B63" s="19" t="inlineStr">
        <is>
          <t> 87879 </t>
        </is>
      </c>
      <c r="C63" s="17" t="inlineStr">
        <is>
          <t>SINAPI</t>
        </is>
      </c>
      <c r="D63" s="17" t="inlineStr">
        <is>
          <t>CHAPISCO APLICADO EM ALVENARIAS E ESTRUTURAS DE CONCRETO INTERNAS, COM COLHER DE PEDREIRO.  ARGAMASSA TRAÇO 1:3 COM PREPARO EM BETONEIRA 400L. AF_10/2022</t>
        </is>
      </c>
      <c r="E63" s="18" t="inlineStr">
        <is>
          <t>m²</t>
        </is>
      </c>
      <c r="F63" s="19" t="n">
        <v>174.24</v>
      </c>
      <c r="G63" s="20" t="n">
        <v>4.66</v>
      </c>
      <c r="H63" s="20" t="str">
        <f>TRUNC(G63 * (1 + 25.51 / 100), 2)</f>
      </c>
      <c r="I63" s="20" t="str">
        <f>TRUNC(F63 * h63, 2)</f>
      </c>
      <c r="J63" s="21" t="str">
        <f>i63 / 220048.84</f>
      </c>
    </row>
    <row customHeight="1" ht="52" r="64">
      <c r="A64" s="17" t="inlineStr">
        <is>
          <t> 9.2 </t>
        </is>
      </c>
      <c r="B64" s="19" t="inlineStr">
        <is>
          <t> 104958 </t>
        </is>
      </c>
      <c r="C64" s="17" t="inlineStr">
        <is>
          <t>SINAPI</t>
        </is>
      </c>
      <c r="D64" s="17" t="inlineStr">
        <is>
          <t>MASSA ÚNICA, EM ARGAMASSA TRAÇO 1:2:8 PREPARO MECÂNICO, APLICADA MANUALMENTE EM PAREDES INTERNAS DE AMBIENTES COM ÁREA MAIOR QUE 10M², E = 10MM, COM TALISCAS. AF_03/2024</t>
        </is>
      </c>
      <c r="E64" s="18" t="inlineStr">
        <is>
          <t>m²</t>
        </is>
      </c>
      <c r="F64" s="19" t="n">
        <v>174.24</v>
      </c>
      <c r="G64" s="20" t="n">
        <v>23.2</v>
      </c>
      <c r="H64" s="20" t="str">
        <f>TRUNC(G64 * (1 + 25.51 / 100), 2)</f>
      </c>
      <c r="I64" s="20" t="str">
        <f>TRUNC(F64 * h64, 2)</f>
      </c>
      <c r="J64" s="21" t="str">
        <f>i64 / 220048.84</f>
      </c>
    </row>
    <row customHeight="1" ht="39" r="65">
      <c r="A65" s="17" t="inlineStr">
        <is>
          <t> 9.3 </t>
        </is>
      </c>
      <c r="B65" s="19" t="inlineStr">
        <is>
          <t> 87273 </t>
        </is>
      </c>
      <c r="C65" s="17" t="inlineStr">
        <is>
          <t>SINAPI</t>
        </is>
      </c>
      <c r="D65" s="17" t="inlineStr">
        <is>
          <t>REVESTIMENTO CERÂMICO PARA PAREDES INTERNAS COM PLACAS TIPO ESMALTADA DE DIMENSÕES 33X45 CM APLICADAS NA ALTURA INTEIRA DAS PAREDES. AF_02/2023_PE</t>
        </is>
      </c>
      <c r="E65" s="18" t="inlineStr">
        <is>
          <t>m²</t>
        </is>
      </c>
      <c r="F65" s="19" t="n">
        <v>112.5</v>
      </c>
      <c r="G65" s="20" t="n">
        <v>66.62</v>
      </c>
      <c r="H65" s="20" t="str">
        <f>TRUNC(G65 * (1 + 25.51 / 100), 2)</f>
      </c>
      <c r="I65" s="20" t="str">
        <f>TRUNC(F65 * h65, 2)</f>
      </c>
      <c r="J65" s="21" t="str">
        <f>i65 / 220048.84</f>
      </c>
    </row>
    <row customHeight="1" ht="26" r="66">
      <c r="A66" s="17" t="inlineStr">
        <is>
          <t> 9.4 </t>
        </is>
      </c>
      <c r="B66" s="19" t="inlineStr">
        <is>
          <t> 104658 </t>
        </is>
      </c>
      <c r="C66" s="17" t="inlineStr">
        <is>
          <t>SINAPI</t>
        </is>
      </c>
      <c r="D66" s="17" t="inlineStr">
        <is>
          <t>PISO PODOTÁTIL DE ALERTA OU DIRECIONAL, DE CONCRETO, ASSENTADO SOBRE ARGAMASSA. AF_03/2024</t>
        </is>
      </c>
      <c r="E66" s="18" t="inlineStr">
        <is>
          <t>m²</t>
        </is>
      </c>
      <c r="F66" s="19" t="n">
        <v>9.5</v>
      </c>
      <c r="G66" s="20" t="n">
        <v>129.71</v>
      </c>
      <c r="H66" s="20" t="str">
        <f>TRUNC(G66 * (1 + 25.51 / 100), 2)</f>
      </c>
      <c r="I66" s="20" t="str">
        <f>TRUNC(F66 * h66, 2)</f>
      </c>
      <c r="J66" s="21" t="str">
        <f>i66 / 220048.84</f>
      </c>
    </row>
    <row customHeight="1" ht="39" r="67">
      <c r="A67" s="17" t="inlineStr">
        <is>
          <t> 9.5 </t>
        </is>
      </c>
      <c r="B67" s="19" t="inlineStr">
        <is>
          <t> C4623 </t>
        </is>
      </c>
      <c r="C67" s="17" t="inlineStr">
        <is>
          <t>SEINFRA</t>
        </is>
      </c>
      <c r="D67" s="17" t="inlineStr">
        <is>
          <t>PISO PODOTÁTIL ALERTA OU DIRECIONAL INTERNO EM BORRACHA 25x25cm, COR AZUL, ASSENTAMENTO COM COLA VINIL (FORNECIMENTO E ASSENTAMENTO)</t>
        </is>
      </c>
      <c r="E67" s="18" t="inlineStr">
        <is>
          <t>m²</t>
        </is>
      </c>
      <c r="F67" s="19" t="n">
        <v>1.5</v>
      </c>
      <c r="G67" s="20" t="n">
        <v>238.26</v>
      </c>
      <c r="H67" s="20" t="str">
        <f>TRUNC(G67 * (1 + 25.51 / 100), 2)</f>
      </c>
      <c r="I67" s="20" t="str">
        <f>TRUNC(F67 * h67, 2)</f>
      </c>
      <c r="J67" s="21" t="str">
        <f>i67 / 220048.84</f>
      </c>
    </row>
    <row customHeight="1" ht="26" r="68">
      <c r="A68" s="17" t="inlineStr">
        <is>
          <t> 9.6 </t>
        </is>
      </c>
      <c r="B68" s="19" t="inlineStr">
        <is>
          <t> 88497 </t>
        </is>
      </c>
      <c r="C68" s="17" t="inlineStr">
        <is>
          <t>SINAPI</t>
        </is>
      </c>
      <c r="D68" s="17" t="inlineStr">
        <is>
          <t>EMASSAMENTO COM MASSA LÁTEX, APLICAÇÃO EM PAREDE, DUAS DEMÃOS, LIXAMENTO MANUAL. AF_04/2023</t>
        </is>
      </c>
      <c r="E68" s="18" t="inlineStr">
        <is>
          <t>m²</t>
        </is>
      </c>
      <c r="F68" s="19" t="n">
        <v>77.9</v>
      </c>
      <c r="G68" s="20" t="n">
        <v>15.61</v>
      </c>
      <c r="H68" s="20" t="str">
        <f>TRUNC(G68 * (1 + 25.51 / 100), 2)</f>
      </c>
      <c r="I68" s="20" t="str">
        <f>TRUNC(F68 * h68, 2)</f>
      </c>
      <c r="J68" s="21" t="str">
        <f>i68 / 220048.84</f>
      </c>
    </row>
    <row customHeight="1" ht="24" r="69">
      <c r="A69" s="9" t="inlineStr">
        <is>
          <t> 10 </t>
        </is>
      </c>
      <c r="B69" s="9"/>
      <c r="C69" s="9"/>
      <c r="D69" s="9" t="inlineStr">
        <is>
          <t>PINTURA</t>
        </is>
      </c>
      <c r="E69" s="9"/>
      <c r="F69" s="11"/>
      <c r="G69" s="9"/>
      <c r="H69" s="9"/>
      <c r="I69" s="12" t="n">
        <v>29314.62</v>
      </c>
      <c r="J69" s="13" t="str">
        <f>i69 / 220048.84</f>
      </c>
    </row>
    <row customHeight="1" ht="26" r="70">
      <c r="A70" s="17" t="inlineStr">
        <is>
          <t> 10.1 </t>
        </is>
      </c>
      <c r="B70" s="19" t="inlineStr">
        <is>
          <t> 88485 </t>
        </is>
      </c>
      <c r="C70" s="17" t="inlineStr">
        <is>
          <t>SINAPI</t>
        </is>
      </c>
      <c r="D70" s="17" t="inlineStr">
        <is>
          <t>FUNDO SELADOR ACRÍLICO, APLICAÇÃO MANUAL EM PAREDE, UMA DEMÃO. AF_04/2023</t>
        </is>
      </c>
      <c r="E70" s="18" t="inlineStr">
        <is>
          <t>m²</t>
        </is>
      </c>
      <c r="F70" s="19" t="n">
        <v>174.24</v>
      </c>
      <c r="G70" s="20" t="n">
        <v>4.03</v>
      </c>
      <c r="H70" s="20" t="str">
        <f>TRUNC(G70 * (1 + 25.51 / 100), 2)</f>
      </c>
      <c r="I70" s="20" t="str">
        <f>TRUNC(F70 * h70, 2)</f>
      </c>
      <c r="J70" s="21" t="str">
        <f>i70 / 220048.84</f>
      </c>
    </row>
    <row customHeight="1" ht="39" r="71">
      <c r="A71" s="17" t="inlineStr">
        <is>
          <t> 10.2 </t>
        </is>
      </c>
      <c r="B71" s="19" t="inlineStr">
        <is>
          <t> 102513 </t>
        </is>
      </c>
      <c r="C71" s="17" t="inlineStr">
        <is>
          <t>SINAPI</t>
        </is>
      </c>
      <c r="D71" s="17" t="inlineStr">
        <is>
          <t>( EXTINTORES E CADEIRANTE INTERNO) PINTURA DE SÍMBOLOS E TEXTOS COM TINTA ACRÍLICA OU ESMALTE SINTETICO, DEMARCAÇÃO COM FITA ADESIVA E APLICAÇÃO COM ROLO. AF_05/2021</t>
        </is>
      </c>
      <c r="E71" s="18" t="inlineStr">
        <is>
          <t>m²</t>
        </is>
      </c>
      <c r="F71" s="19" t="n">
        <v>7.0</v>
      </c>
      <c r="G71" s="20" t="n">
        <v>44.77</v>
      </c>
      <c r="H71" s="20" t="str">
        <f>TRUNC(G71 * (1 + 25.51 / 100), 2)</f>
      </c>
      <c r="I71" s="20" t="str">
        <f>TRUNC(F71 * h71, 2)</f>
      </c>
      <c r="J71" s="21" t="str">
        <f>i71 / 220048.84</f>
      </c>
    </row>
    <row customHeight="1" ht="26" r="72">
      <c r="A72" s="17" t="inlineStr">
        <is>
          <t> 10.3 </t>
        </is>
      </c>
      <c r="B72" s="19" t="inlineStr">
        <is>
          <t> 95623 </t>
        </is>
      </c>
      <c r="C72" s="17" t="inlineStr">
        <is>
          <t>SINAPI</t>
        </is>
      </c>
      <c r="D72" s="17" t="inlineStr">
        <is>
          <t>APLICAÇÃO MANUAL DE TINTA LÁTEX ACRÍLICA PREMIUM, EM PAREDES, DUAS DEMÃOS. AF_03/2024</t>
        </is>
      </c>
      <c r="E72" s="18" t="inlineStr">
        <is>
          <t>m²</t>
        </is>
      </c>
      <c r="F72" s="19" t="n">
        <v>558.63</v>
      </c>
      <c r="G72" s="20" t="n">
        <v>9.61</v>
      </c>
      <c r="H72" s="20" t="str">
        <f>TRUNC(G72 * (1 + 25.51 / 100), 2)</f>
      </c>
      <c r="I72" s="20" t="str">
        <f>TRUNC(F72 * h72, 2)</f>
      </c>
      <c r="J72" s="21" t="str">
        <f>i72 / 220048.84</f>
      </c>
    </row>
    <row customHeight="1" ht="39" r="73">
      <c r="A73" s="17" t="inlineStr">
        <is>
          <t> 10.4 </t>
        </is>
      </c>
      <c r="B73" s="19" t="inlineStr">
        <is>
          <t> 104641 </t>
        </is>
      </c>
      <c r="C73" s="17" t="inlineStr">
        <is>
          <t>SINAPI</t>
        </is>
      </c>
      <c r="D73" s="17" t="inlineStr">
        <is>
          <t>(MURO DE DIVIAS) PINTURA LÁTEX ACRÍLICA ECONÔMICA, APLICAÇÃO MANUAL EM PAREDES, DUAS DEMÃOS. AF_04/2023</t>
        </is>
      </c>
      <c r="E73" s="18" t="inlineStr">
        <is>
          <t>m²</t>
        </is>
      </c>
      <c r="F73" s="19" t="n">
        <v>128.5</v>
      </c>
      <c r="G73" s="20" t="n">
        <v>8.66</v>
      </c>
      <c r="H73" s="20" t="str">
        <f>TRUNC(G73 * (1 + 25.51 / 100), 2)</f>
      </c>
      <c r="I73" s="20" t="str">
        <f>TRUNC(F73 * h73, 2)</f>
      </c>
      <c r="J73" s="21" t="str">
        <f>i73 / 220048.84</f>
      </c>
    </row>
    <row customHeight="1" ht="26" r="74">
      <c r="A74" s="17" t="inlineStr">
        <is>
          <t> 10.5 </t>
        </is>
      </c>
      <c r="B74" s="19" t="inlineStr">
        <is>
          <t> 102193 </t>
        </is>
      </c>
      <c r="C74" s="17" t="inlineStr">
        <is>
          <t>SINAPI</t>
        </is>
      </c>
      <c r="D74" s="17" t="inlineStr">
        <is>
          <t>LIXAMENTO DE MADEIRA PARA APLICAÇÃO DE FUNDO OU PINTURA. AF_01/2021</t>
        </is>
      </c>
      <c r="E74" s="18" t="inlineStr">
        <is>
          <t>m²</t>
        </is>
      </c>
      <c r="F74" s="19" t="n">
        <v>51.25</v>
      </c>
      <c r="G74" s="20" t="n">
        <v>1.79</v>
      </c>
      <c r="H74" s="20" t="str">
        <f>TRUNC(G74 * (1 + 25.51 / 100), 2)</f>
      </c>
      <c r="I74" s="20" t="str">
        <f>TRUNC(F74 * h74, 2)</f>
      </c>
      <c r="J74" s="21" t="str">
        <f>i74 / 220048.84</f>
      </c>
    </row>
    <row customHeight="1" ht="26" r="75">
      <c r="A75" s="17" t="inlineStr">
        <is>
          <t> 10.6 </t>
        </is>
      </c>
      <c r="B75" s="19" t="inlineStr">
        <is>
          <t> 100717 </t>
        </is>
      </c>
      <c r="C75" s="17" t="inlineStr">
        <is>
          <t>SINAPI</t>
        </is>
      </c>
      <c r="D75" s="17" t="inlineStr">
        <is>
          <t>LIXAMENTO MANUAL EM SUPERFÍCIES METÁLICAS EM OBRA. AF_01/2020</t>
        </is>
      </c>
      <c r="E75" s="18" t="inlineStr">
        <is>
          <t>m²</t>
        </is>
      </c>
      <c r="F75" s="19" t="n">
        <v>95.65</v>
      </c>
      <c r="G75" s="20" t="n">
        <v>8.91</v>
      </c>
      <c r="H75" s="20" t="str">
        <f>TRUNC(G75 * (1 + 25.51 / 100), 2)</f>
      </c>
      <c r="I75" s="20" t="str">
        <f>TRUNC(F75 * h75, 2)</f>
      </c>
      <c r="J75" s="21" t="str">
        <f>i75 / 220048.84</f>
      </c>
    </row>
    <row customHeight="1" ht="52" r="76">
      <c r="A76" s="17" t="inlineStr">
        <is>
          <t> 10.7 </t>
        </is>
      </c>
      <c r="B76" s="19" t="inlineStr">
        <is>
          <t> 100740 </t>
        </is>
      </c>
      <c r="C76" s="17" t="inlineStr">
        <is>
          <t>SINAPI</t>
        </is>
      </c>
      <c r="D76" s="17" t="inlineStr">
        <is>
          <t>PINTURA COM TINTA ALQUÍDICA DE ACABAMENTO (ESMALTE SINTÉTICO ACETINADO) APLICADA A ROLO OU PINCEL SOBRE PERFIL METÁLICO EXECUTADO EM FÁBRICA (POR DEMÃO). AF_01/2020</t>
        </is>
      </c>
      <c r="E76" s="18" t="inlineStr">
        <is>
          <t>m²</t>
        </is>
      </c>
      <c r="F76" s="19" t="n">
        <v>95.65</v>
      </c>
      <c r="G76" s="20" t="n">
        <v>10.73</v>
      </c>
      <c r="H76" s="20" t="str">
        <f>TRUNC(G76 * (1 + 25.51 / 100), 2)</f>
      </c>
      <c r="I76" s="20" t="str">
        <f>TRUNC(F76 * h76, 2)</f>
      </c>
      <c r="J76" s="21" t="str">
        <f>i76 / 220048.84</f>
      </c>
    </row>
    <row customHeight="1" ht="39" r="77">
      <c r="A77" s="17" t="inlineStr">
        <is>
          <t> 10.8 </t>
        </is>
      </c>
      <c r="B77" s="19" t="inlineStr">
        <is>
          <t> 102219 </t>
        </is>
      </c>
      <c r="C77" s="17" t="inlineStr">
        <is>
          <t>SINAPI</t>
        </is>
      </c>
      <c r="D77" s="17" t="inlineStr">
        <is>
          <t>PINTURA TINTA DE ACABAMENTO (PIGMENTADA) ESMALTE SINTÉTICO ACETINADO EM MADEIRA, 2 DEMÃOS. AF_01/2021</t>
        </is>
      </c>
      <c r="E77" s="18" t="inlineStr">
        <is>
          <t>m²</t>
        </is>
      </c>
      <c r="F77" s="19" t="n">
        <v>51.25</v>
      </c>
      <c r="G77" s="20" t="n">
        <v>15.91</v>
      </c>
      <c r="H77" s="20" t="str">
        <f>TRUNC(G77 * (1 + 25.51 / 100), 2)</f>
      </c>
      <c r="I77" s="20" t="str">
        <f>TRUNC(F77 * h77, 2)</f>
      </c>
      <c r="J77" s="21" t="str">
        <f>i77 / 220048.84</f>
      </c>
    </row>
    <row customHeight="1" ht="26" r="78">
      <c r="A78" s="17" t="inlineStr">
        <is>
          <t> 10.9 </t>
        </is>
      </c>
      <c r="B78" s="19" t="inlineStr">
        <is>
          <t> 104640 </t>
        </is>
      </c>
      <c r="C78" s="17" t="inlineStr">
        <is>
          <t>SINAPI</t>
        </is>
      </c>
      <c r="D78" s="17" t="inlineStr">
        <is>
          <t>PINTURA LÁTEX ACRÍLICA STANDARD, APLICAÇÃO MANUAL EM TETO, DUAS DEMÃOS. AF_04/2023</t>
        </is>
      </c>
      <c r="E78" s="18" t="inlineStr">
        <is>
          <t>m²</t>
        </is>
      </c>
      <c r="F78" s="19" t="n">
        <v>201.0</v>
      </c>
      <c r="G78" s="20" t="n">
        <v>12.05</v>
      </c>
      <c r="H78" s="20" t="str">
        <f>TRUNC(G78 * (1 + 25.51 / 100), 2)</f>
      </c>
      <c r="I78" s="20" t="str">
        <f>TRUNC(F78 * h78, 2)</f>
      </c>
      <c r="J78" s="21" t="str">
        <f>i78 / 220048.84</f>
      </c>
    </row>
    <row customHeight="1" ht="26" r="79">
      <c r="A79" s="17" t="inlineStr">
        <is>
          <t> 10.10 </t>
        </is>
      </c>
      <c r="B79" s="19" t="inlineStr">
        <is>
          <t> 88496 </t>
        </is>
      </c>
      <c r="C79" s="17" t="inlineStr">
        <is>
          <t>SINAPI</t>
        </is>
      </c>
      <c r="D79" s="17" t="inlineStr">
        <is>
          <t>EMASSAMENTO COM MASSA LÁTEX, APLICAÇÃO EM TETO, DUAS DEMÃOS, LIXAMENTO MANUAL. AF_04/2023</t>
        </is>
      </c>
      <c r="E79" s="18" t="inlineStr">
        <is>
          <t>m²</t>
        </is>
      </c>
      <c r="F79" s="19" t="n">
        <v>40.0</v>
      </c>
      <c r="G79" s="20" t="n">
        <v>28.7</v>
      </c>
      <c r="H79" s="20" t="str">
        <f>TRUNC(G79 * (1 + 25.51 / 100), 2)</f>
      </c>
      <c r="I79" s="20" t="str">
        <f>TRUNC(F79 * h79, 2)</f>
      </c>
      <c r="J79" s="21" t="str">
        <f>i79 / 220048.84</f>
      </c>
    </row>
    <row customHeight="1" ht="26" r="80">
      <c r="A80" s="17" t="inlineStr">
        <is>
          <t> 10.11 </t>
        </is>
      </c>
      <c r="B80" s="19" t="inlineStr">
        <is>
          <t> 104639 </t>
        </is>
      </c>
      <c r="C80" s="17" t="inlineStr">
        <is>
          <t>SINAPI</t>
        </is>
      </c>
      <c r="D80" s="17" t="inlineStr">
        <is>
          <t>PINTURA LÁTEX ACRÍLICA ECONÔMICA, APLICAÇÃO MANUAL EM TETO, DUAS DEMÃOS. AF_04/2023</t>
        </is>
      </c>
      <c r="E80" s="18" t="inlineStr">
        <is>
          <t>m²</t>
        </is>
      </c>
      <c r="F80" s="19" t="n">
        <v>201.0</v>
      </c>
      <c r="G80" s="20" t="n">
        <v>10.86</v>
      </c>
      <c r="H80" s="20" t="str">
        <f>TRUNC(G80 * (1 + 25.51 / 100), 2)</f>
      </c>
      <c r="I80" s="20" t="str">
        <f>TRUNC(F80 * h80, 2)</f>
      </c>
      <c r="J80" s="21" t="str">
        <f>i80 / 220048.84</f>
      </c>
    </row>
    <row customHeight="1" ht="26" r="81">
      <c r="A81" s="17" t="inlineStr">
        <is>
          <t> 10.12 </t>
        </is>
      </c>
      <c r="B81" s="19" t="inlineStr">
        <is>
          <t> 88484 </t>
        </is>
      </c>
      <c r="C81" s="17" t="inlineStr">
        <is>
          <t>SINAPI</t>
        </is>
      </c>
      <c r="D81" s="17" t="inlineStr">
        <is>
          <t>FUNDO SELADOR ACRÍLICO, APLICAÇÃO MANUAL EM TETO, UMA DEMÃO. AF_04/2023</t>
        </is>
      </c>
      <c r="E81" s="18" t="inlineStr">
        <is>
          <t>m²</t>
        </is>
      </c>
      <c r="F81" s="19" t="n">
        <v>40.0</v>
      </c>
      <c r="G81" s="20" t="n">
        <v>4.92</v>
      </c>
      <c r="H81" s="20" t="str">
        <f>TRUNC(G81 * (1 + 25.51 / 100), 2)</f>
      </c>
      <c r="I81" s="20" t="str">
        <f>TRUNC(F81 * h81, 2)</f>
      </c>
      <c r="J81" s="21" t="str">
        <f>i81 / 220048.84</f>
      </c>
    </row>
    <row customHeight="1" ht="26" r="82">
      <c r="A82" s="17" t="inlineStr">
        <is>
          <t> 10.13 </t>
        </is>
      </c>
      <c r="B82" s="19" t="inlineStr">
        <is>
          <t> 102213 </t>
        </is>
      </c>
      <c r="C82" s="17" t="inlineStr">
        <is>
          <t>SINAPI</t>
        </is>
      </c>
      <c r="D82" s="17" t="inlineStr">
        <is>
          <t>PINTURA VERNIZ (INCOLOR) ALQUÍDICO EM MADEIRA, USO INTERNO E EXTERNO, 2 DEMÃOS. AF_01/2021</t>
        </is>
      </c>
      <c r="E82" s="18" t="inlineStr">
        <is>
          <t>m²</t>
        </is>
      </c>
      <c r="F82" s="19" t="n">
        <v>51.25</v>
      </c>
      <c r="G82" s="20" t="n">
        <v>20.34</v>
      </c>
      <c r="H82" s="20" t="str">
        <f>TRUNC(G82 * (1 + 25.51 / 100), 2)</f>
      </c>
      <c r="I82" s="20" t="str">
        <f>TRUNC(F82 * h82, 2)</f>
      </c>
      <c r="J82" s="21" t="str">
        <f>i82 / 220048.84</f>
      </c>
    </row>
    <row customHeight="1" ht="26" r="83">
      <c r="A83" s="17" t="inlineStr">
        <is>
          <t> 10.14 </t>
        </is>
      </c>
      <c r="B83" s="19" t="inlineStr">
        <is>
          <t> 95305 </t>
        </is>
      </c>
      <c r="C83" s="17" t="inlineStr">
        <is>
          <t>SINAPI</t>
        </is>
      </c>
      <c r="D83" s="17" t="inlineStr">
        <is>
          <t>TEXTURA ACRÍLICA, APLICAÇÃO MANUAL EM PAREDE, UMA DEMÃO. AF_04/2023</t>
        </is>
      </c>
      <c r="E83" s="18" t="inlineStr">
        <is>
          <t>m²</t>
        </is>
      </c>
      <c r="F83" s="19" t="n">
        <v>443.2</v>
      </c>
      <c r="G83" s="20" t="n">
        <v>12.54</v>
      </c>
      <c r="H83" s="20" t="str">
        <f>TRUNC(G83 * (1 + 25.51 / 100), 2)</f>
      </c>
      <c r="I83" s="20" t="str">
        <f>TRUNC(F83 * h83, 2)</f>
      </c>
      <c r="J83" s="21" t="str">
        <f>i83 / 220048.84</f>
      </c>
    </row>
    <row customHeight="1" ht="26" r="84">
      <c r="A84" s="17" t="inlineStr">
        <is>
          <t> 10.15 </t>
        </is>
      </c>
      <c r="B84" s="19" t="inlineStr">
        <is>
          <t> 98557 </t>
        </is>
      </c>
      <c r="C84" s="17" t="inlineStr">
        <is>
          <t>SINAPI</t>
        </is>
      </c>
      <c r="D84" s="17" t="inlineStr">
        <is>
          <t>IMPERMEABILIZAÇÃO DE SUPERFÍCIE COM EMULSÃO ASFÁLTICA, 2 DEMÃOS. AF_09/2023</t>
        </is>
      </c>
      <c r="E84" s="18" t="inlineStr">
        <is>
          <t>m²</t>
        </is>
      </c>
      <c r="F84" s="19" t="n">
        <v>11.0</v>
      </c>
      <c r="G84" s="20" t="n">
        <v>48.42</v>
      </c>
      <c r="H84" s="20" t="str">
        <f>TRUNC(G84 * (1 + 25.51 / 100), 2)</f>
      </c>
      <c r="I84" s="20" t="str">
        <f>TRUNC(F84 * h84, 2)</f>
      </c>
      <c r="J84" s="21" t="str">
        <f>i84 / 220048.84</f>
      </c>
    </row>
    <row customHeight="1" ht="24" r="85">
      <c r="A85" s="9" t="inlineStr">
        <is>
          <t> 11 </t>
        </is>
      </c>
      <c r="B85" s="9"/>
      <c r="C85" s="9"/>
      <c r="D85" s="9" t="inlineStr">
        <is>
          <t>ESQUADRIAS</t>
        </is>
      </c>
      <c r="E85" s="9"/>
      <c r="F85" s="11"/>
      <c r="G85" s="9"/>
      <c r="H85" s="9"/>
      <c r="I85" s="12" t="n">
        <v>8968.47</v>
      </c>
      <c r="J85" s="13" t="str">
        <f>i85 / 220048.84</f>
      </c>
    </row>
    <row customHeight="1" ht="26" r="86">
      <c r="A86" s="17" t="inlineStr">
        <is>
          <t> 11.1 </t>
        </is>
      </c>
      <c r="B86" s="19" t="inlineStr">
        <is>
          <t> 102182 </t>
        </is>
      </c>
      <c r="C86" s="17" t="inlineStr">
        <is>
          <t>SINAPI</t>
        </is>
      </c>
      <c r="D86" s="17" t="inlineStr">
        <is>
          <t>PORTA PIVOTANTE DE VIDRO TEMPERADO, 90X210 CM, ESPESSURA 10 MM, INCLUSIVE ACESSÓRIOS. AF_01/2021</t>
        </is>
      </c>
      <c r="E86" s="18" t="inlineStr">
        <is>
          <t>UN</t>
        </is>
      </c>
      <c r="F86" s="19" t="n">
        <v>1.0</v>
      </c>
      <c r="G86" s="20" t="n">
        <v>1018.51</v>
      </c>
      <c r="H86" s="20" t="str">
        <f>TRUNC(G86 * (1 + 25.51 / 100), 2)</f>
      </c>
      <c r="I86" s="20" t="str">
        <f>TRUNC(F86 * h86, 2)</f>
      </c>
      <c r="J86" s="21" t="str">
        <f>i86 / 220048.84</f>
      </c>
    </row>
    <row customHeight="1" ht="26" r="87">
      <c r="A87" s="17" t="inlineStr">
        <is>
          <t> 11.2 </t>
        </is>
      </c>
      <c r="B87" s="19" t="inlineStr">
        <is>
          <t> 102235 </t>
        </is>
      </c>
      <c r="C87" s="17" t="inlineStr">
        <is>
          <t>SINAPI</t>
        </is>
      </c>
      <c r="D87" s="17" t="inlineStr">
        <is>
          <t>DIVISÓRIA FIXA EM VIDRO TEMPERADO 10 MM, SEM ABERTURA. AF_01/2021_PS</t>
        </is>
      </c>
      <c r="E87" s="18" t="inlineStr">
        <is>
          <t>m²</t>
        </is>
      </c>
      <c r="F87" s="19" t="n">
        <v>2.63</v>
      </c>
      <c r="G87" s="20" t="n">
        <v>475.28</v>
      </c>
      <c r="H87" s="20" t="str">
        <f>TRUNC(G87 * (1 + 25.51 / 100), 2)</f>
      </c>
      <c r="I87" s="20" t="str">
        <f>TRUNC(F87 * h87, 2)</f>
      </c>
      <c r="J87" s="21" t="str">
        <f>i87 / 220048.84</f>
      </c>
    </row>
    <row customHeight="1" ht="26" r="88">
      <c r="A88" s="17" t="inlineStr">
        <is>
          <t> 11.3 </t>
        </is>
      </c>
      <c r="B88" s="19" t="inlineStr">
        <is>
          <t> C1958 </t>
        </is>
      </c>
      <c r="C88" s="17" t="inlineStr">
        <is>
          <t>SEINFRA</t>
        </is>
      </c>
      <c r="D88" s="17" t="inlineStr">
        <is>
          <t>PORTA DE FERRO COMPACTA EM CHAPA, INCLUS. BATENTES E FERRAGENS</t>
        </is>
      </c>
      <c r="E88" s="18" t="inlineStr">
        <is>
          <t>m²</t>
        </is>
      </c>
      <c r="F88" s="19" t="n">
        <v>1.0</v>
      </c>
      <c r="G88" s="20" t="n">
        <v>395.6</v>
      </c>
      <c r="H88" s="20" t="str">
        <f>TRUNC(G88 * (1 + 25.51 / 100), 2)</f>
      </c>
      <c r="I88" s="20" t="str">
        <f>TRUNC(F88 * h88, 2)</f>
      </c>
      <c r="J88" s="21" t="str">
        <f>i88 / 220048.84</f>
      </c>
    </row>
    <row customHeight="1" ht="39" r="89">
      <c r="A89" s="17" t="inlineStr">
        <is>
          <t> 11.4 </t>
        </is>
      </c>
      <c r="B89" s="19" t="inlineStr">
        <is>
          <t> 91338 </t>
        </is>
      </c>
      <c r="C89" s="17" t="inlineStr">
        <is>
          <t>SINAPI</t>
        </is>
      </c>
      <c r="D89" s="17" t="inlineStr">
        <is>
          <t>PORTA DE ALUMÍNIO DE ABRIR COM LAMBRI, COM GUARNIÇÃO, FIXAÇÃO COM PARAFUSOS - FORNECIMENTO E INSTALAÇÃO. AF_12/2019</t>
        </is>
      </c>
      <c r="E89" s="18" t="inlineStr">
        <is>
          <t>m²</t>
        </is>
      </c>
      <c r="F89" s="19" t="n">
        <v>5.4</v>
      </c>
      <c r="G89" s="20" t="n">
        <v>674.74</v>
      </c>
      <c r="H89" s="20" t="str">
        <f>TRUNC(G89 * (1 + 25.51 / 100), 2)</f>
      </c>
      <c r="I89" s="20" t="str">
        <f>TRUNC(F89 * h89, 2)</f>
      </c>
      <c r="J89" s="21" t="str">
        <f>i89 / 220048.84</f>
      </c>
    </row>
    <row customHeight="1" ht="24" r="90">
      <c r="A90" s="17" t="inlineStr">
        <is>
          <t> 11.5 </t>
        </is>
      </c>
      <c r="B90" s="19" t="inlineStr">
        <is>
          <t> C3729 </t>
        </is>
      </c>
      <c r="C90" s="17" t="inlineStr">
        <is>
          <t>SEINFRA</t>
        </is>
      </c>
      <c r="D90" s="17" t="inlineStr">
        <is>
          <t>REMANEJAMENTO DE ESQUADRIAS DE ALUMÍNIO</t>
        </is>
      </c>
      <c r="E90" s="18" t="inlineStr">
        <is>
          <t>m²</t>
        </is>
      </c>
      <c r="F90" s="19" t="n">
        <v>3.36</v>
      </c>
      <c r="G90" s="20" t="n">
        <v>84.64</v>
      </c>
      <c r="H90" s="20" t="str">
        <f>TRUNC(G90 * (1 + 25.51 / 100), 2)</f>
      </c>
      <c r="I90" s="20" t="str">
        <f>TRUNC(F90 * h90, 2)</f>
      </c>
      <c r="J90" s="21" t="str">
        <f>i90 / 220048.84</f>
      </c>
    </row>
    <row customHeight="1" ht="39" r="91">
      <c r="A91" s="17" t="inlineStr">
        <is>
          <t> 11.6 </t>
        </is>
      </c>
      <c r="B91" s="19" t="inlineStr">
        <is>
          <t> 12344 </t>
        </is>
      </c>
      <c r="C91" s="17" t="inlineStr">
        <is>
          <t>ORSE</t>
        </is>
      </c>
      <c r="D91" s="17" t="inlineStr">
        <is>
          <t>Remoção e reassentamento de esquadria de aluminio e vidro Rev. 01 - 03/2022 (AJUSTE PORTA DE VIDRO ENTRADA PRINCIPAL)</t>
        </is>
      </c>
      <c r="E91" s="18" t="inlineStr">
        <is>
          <t>m²</t>
        </is>
      </c>
      <c r="F91" s="19" t="n">
        <v>8.9</v>
      </c>
      <c r="G91" s="20" t="n">
        <v>62.21</v>
      </c>
      <c r="H91" s="20" t="str">
        <f>TRUNC(G91 * (1 + 25.51 / 100), 2)</f>
      </c>
      <c r="I91" s="20" t="str">
        <f>TRUNC(F91 * h91, 2)</f>
      </c>
      <c r="J91" s="21" t="str">
        <f>i91 / 220048.84</f>
      </c>
    </row>
    <row customHeight="1" ht="24" r="92">
      <c r="A92" s="9" t="inlineStr">
        <is>
          <t> 12 </t>
        </is>
      </c>
      <c r="B92" s="9"/>
      <c r="C92" s="9"/>
      <c r="D92" s="9" t="inlineStr">
        <is>
          <t>INSTALAÇÕES ELÉTRICAS</t>
        </is>
      </c>
      <c r="E92" s="9"/>
      <c r="F92" s="11"/>
      <c r="G92" s="9"/>
      <c r="H92" s="9"/>
      <c r="I92" s="12" t="n">
        <v>15799.17</v>
      </c>
      <c r="J92" s="13" t="str">
        <f>i92 / 220048.84</f>
      </c>
    </row>
    <row customHeight="1" ht="39" r="93">
      <c r="A93" s="17" t="inlineStr">
        <is>
          <t> 12.1 </t>
        </is>
      </c>
      <c r="B93" s="19" t="inlineStr">
        <is>
          <t> 91926 </t>
        </is>
      </c>
      <c r="C93" s="17" t="inlineStr">
        <is>
          <t>SINAPI</t>
        </is>
      </c>
      <c r="D93" s="17" t="inlineStr">
        <is>
          <t>CABO DE COBRE FLEXÍVEL ISOLADO, 2,5 MM², ANTI-CHAMA 450/750 V, PARA CIRCUITOS TERMINAIS - FORNECIMENTO E INSTALAÇÃO. AF_03/2023</t>
        </is>
      </c>
      <c r="E93" s="18" t="inlineStr">
        <is>
          <t>M</t>
        </is>
      </c>
      <c r="F93" s="19" t="n">
        <v>257.1</v>
      </c>
      <c r="G93" s="20" t="n">
        <v>4.46</v>
      </c>
      <c r="H93" s="20" t="str">
        <f>TRUNC(G93 * (1 + 25.51 / 100), 2)</f>
      </c>
      <c r="I93" s="20" t="str">
        <f>TRUNC(F93 * h93, 2)</f>
      </c>
      <c r="J93" s="21" t="str">
        <f>i93 / 220048.84</f>
      </c>
    </row>
    <row customHeight="1" ht="39" r="94">
      <c r="A94" s="17" t="inlineStr">
        <is>
          <t> 12.2 </t>
        </is>
      </c>
      <c r="B94" s="19" t="inlineStr">
        <is>
          <t> 91930 </t>
        </is>
      </c>
      <c r="C94" s="17" t="inlineStr">
        <is>
          <t>SINAPI</t>
        </is>
      </c>
      <c r="D94" s="17" t="inlineStr">
        <is>
          <t>CABO DE COBRE FLEXÍVEL ISOLADO, 6 MM², ANTI-CHAMA 450/750 V, PARA CIRCUITOS TERMINAIS - FORNECIMENTO E INSTALAÇÃO. AF_03/2023</t>
        </is>
      </c>
      <c r="E94" s="18" t="inlineStr">
        <is>
          <t>M</t>
        </is>
      </c>
      <c r="F94" s="19" t="n">
        <v>162.75</v>
      </c>
      <c r="G94" s="20" t="n">
        <v>9.75</v>
      </c>
      <c r="H94" s="20" t="str">
        <f>TRUNC(G94 * (1 + 25.51 / 100), 2)</f>
      </c>
      <c r="I94" s="20" t="str">
        <f>TRUNC(F94 * h94, 2)</f>
      </c>
      <c r="J94" s="21" t="str">
        <f>i94 / 220048.84</f>
      </c>
    </row>
    <row customHeight="1" ht="26" r="95">
      <c r="A95" s="17" t="inlineStr">
        <is>
          <t> 12.3 </t>
        </is>
      </c>
      <c r="B95" s="19" t="inlineStr">
        <is>
          <t> 72251 </t>
        </is>
      </c>
      <c r="C95" s="17" t="inlineStr">
        <is>
          <t>SINAPI</t>
        </is>
      </c>
      <c r="D95" s="17" t="inlineStr">
        <is>
          <t>CABO DE COBRE NU 16MM2 - FORNECIMENTO E INSTALACAO</t>
        </is>
      </c>
      <c r="E95" s="18" t="inlineStr">
        <is>
          <t>M</t>
        </is>
      </c>
      <c r="F95" s="19" t="n">
        <v>15.0</v>
      </c>
      <c r="G95" s="20" t="n">
        <v>26.01</v>
      </c>
      <c r="H95" s="20" t="str">
        <f>TRUNC(G95 * (1 + 25.51 / 100), 2)</f>
      </c>
      <c r="I95" s="20" t="str">
        <f>TRUNC(F95 * h95, 2)</f>
      </c>
      <c r="J95" s="21" t="str">
        <f>i95 / 220048.84</f>
      </c>
    </row>
    <row customHeight="1" ht="39" r="96">
      <c r="A96" s="17" t="inlineStr">
        <is>
          <t> 12.4 </t>
        </is>
      </c>
      <c r="B96" s="19" t="inlineStr">
        <is>
          <t> 91932 </t>
        </is>
      </c>
      <c r="C96" s="17" t="inlineStr">
        <is>
          <t>SINAPI</t>
        </is>
      </c>
      <c r="D96" s="17" t="inlineStr">
        <is>
          <t>CABO DE COBRE FLEXÍVEL ISOLADO, 10 MM², ANTI-CHAMA 450/750 V, PARA CIRCUITOS TERMINAIS - FORNECIMENTO E INSTALAÇÃO. AF_03/2023</t>
        </is>
      </c>
      <c r="E96" s="18" t="inlineStr">
        <is>
          <t>M</t>
        </is>
      </c>
      <c r="F96" s="19" t="n">
        <v>20.0</v>
      </c>
      <c r="G96" s="20" t="n">
        <v>17.6</v>
      </c>
      <c r="H96" s="20" t="str">
        <f>TRUNC(G96 * (1 + 25.51 / 100), 2)</f>
      </c>
      <c r="I96" s="20" t="str">
        <f>TRUNC(F96 * h96, 2)</f>
      </c>
      <c r="J96" s="21" t="str">
        <f>i96 / 220048.84</f>
      </c>
    </row>
    <row customHeight="1" ht="39" r="97">
      <c r="A97" s="17" t="inlineStr">
        <is>
          <t> 12.5 </t>
        </is>
      </c>
      <c r="B97" s="19" t="inlineStr">
        <is>
          <t> 104750 </t>
        </is>
      </c>
      <c r="C97" s="17" t="inlineStr">
        <is>
          <t>SINAPI</t>
        </is>
      </c>
      <c r="D97" s="17" t="inlineStr">
        <is>
          <t>CONECTOR GRAMPO METÁLICO TIPO OLHAL, PARA SPDA, PARA HASTE DE ATERRAMENTO DE 5/8</t>
        </is>
      </c>
      <c r="E97" s="18" t="inlineStr">
        <is>
          <t>UN</t>
        </is>
      </c>
      <c r="F97" s="19" t="n">
        <v>1.0</v>
      </c>
      <c r="G97" s="20" t="n">
        <v>15.9</v>
      </c>
      <c r="H97" s="20" t="str">
        <f>TRUNC(G97 * (1 + 25.51 / 100), 2)</f>
      </c>
      <c r="I97" s="20" t="str">
        <f>TRUNC(F97 * h97, 2)</f>
      </c>
      <c r="J97" s="21" t="str">
        <f>i97 / 220048.84</f>
      </c>
    </row>
    <row customHeight="1" ht="39" r="98">
      <c r="A98" s="17" t="inlineStr">
        <is>
          <t> 12.6 </t>
        </is>
      </c>
      <c r="B98" s="19" t="inlineStr">
        <is>
          <t> 91935 </t>
        </is>
      </c>
      <c r="C98" s="17" t="inlineStr">
        <is>
          <t>SINAPI</t>
        </is>
      </c>
      <c r="D98" s="17" t="inlineStr">
        <is>
          <t>CABO DE COBRE FLEXÍVEL ISOLADO, 16 MM², ANTI-CHAMA 0,6/1,0 KV, PARA CIRCUITOS TERMINAIS - FORNECIMENTO E INSTALAÇÃO. AF_03/2023</t>
        </is>
      </c>
      <c r="E98" s="18" t="inlineStr">
        <is>
          <t>M</t>
        </is>
      </c>
      <c r="F98" s="19" t="n">
        <v>110.0</v>
      </c>
      <c r="G98" s="20" t="n">
        <v>26.66</v>
      </c>
      <c r="H98" s="20" t="str">
        <f>TRUNC(G98 * (1 + 25.51 / 100), 2)</f>
      </c>
      <c r="I98" s="20" t="str">
        <f>TRUNC(F98 * h98, 2)</f>
      </c>
      <c r="J98" s="21" t="str">
        <f>i98 / 220048.84</f>
      </c>
    </row>
    <row customHeight="1" ht="52" r="99">
      <c r="A99" s="17" t="inlineStr">
        <is>
          <t> 12.7 </t>
        </is>
      </c>
      <c r="B99" s="19" t="inlineStr">
        <is>
          <t> 101879 </t>
        </is>
      </c>
      <c r="C99" s="17" t="inlineStr">
        <is>
          <t>SINAPI</t>
        </is>
      </c>
      <c r="D99" s="17" t="inlineStr">
        <is>
          <t>QUADRO DE DISTRIBUIÇÃO DE ENERGIA EM CHAPA DE AÇO GALVANIZADO, DE EMBUTIR, COM BARRAMENTO TRIFÁSICO, PARA 24 DISJUNTORES DIN 100A - FORNECIMENTO E INSTALAÇÃO. AF_10/2020</t>
        </is>
      </c>
      <c r="E99" s="18" t="inlineStr">
        <is>
          <t>UN</t>
        </is>
      </c>
      <c r="F99" s="19" t="n">
        <v>1.0</v>
      </c>
      <c r="G99" s="20" t="n">
        <v>566.37</v>
      </c>
      <c r="H99" s="20" t="str">
        <f>TRUNC(G99 * (1 + 25.51 / 100), 2)</f>
      </c>
      <c r="I99" s="20" t="str">
        <f>TRUNC(F99 * h99, 2)</f>
      </c>
      <c r="J99" s="21" t="str">
        <f>i99 / 220048.84</f>
      </c>
    </row>
    <row customHeight="1" ht="39" r="100">
      <c r="A100" s="17" t="inlineStr">
        <is>
          <t> 12.8 </t>
        </is>
      </c>
      <c r="B100" s="19" t="inlineStr">
        <is>
          <t> 91872 </t>
        </is>
      </c>
      <c r="C100" s="17" t="inlineStr">
        <is>
          <t>SINAPI</t>
        </is>
      </c>
      <c r="D100" s="17" t="inlineStr">
        <is>
          <t>ELETRODUTO RÍGIDO ROSCÁVEL, PVC, DN 32 MM (1"), PARA CIRCUITOS TERMINAIS, INSTALADO EM PAREDE - FORNECIMENTO E INSTALAÇÃO. AF_03/2023</t>
        </is>
      </c>
      <c r="E100" s="18" t="inlineStr">
        <is>
          <t>M</t>
        </is>
      </c>
      <c r="F100" s="19" t="n">
        <v>28.6</v>
      </c>
      <c r="G100" s="20" t="n">
        <v>17.67</v>
      </c>
      <c r="H100" s="20" t="str">
        <f>TRUNC(G100 * (1 + 25.51 / 100), 2)</f>
      </c>
      <c r="I100" s="20" t="str">
        <f>TRUNC(F100 * h100, 2)</f>
      </c>
      <c r="J100" s="21" t="str">
        <f>i100 / 220048.84</f>
      </c>
    </row>
    <row customHeight="1" ht="39" r="101">
      <c r="A101" s="17" t="inlineStr">
        <is>
          <t> 12.9 </t>
        </is>
      </c>
      <c r="B101" s="19" t="inlineStr">
        <is>
          <t> 93008 </t>
        </is>
      </c>
      <c r="C101" s="17" t="inlineStr">
        <is>
          <t>SINAPI</t>
        </is>
      </c>
      <c r="D101" s="17" t="inlineStr">
        <is>
          <t>ELETRODUTO RÍGIDO ROSCÁVEL, PVC, DN 50 MM (1 1/2"), PARA REDE DISTRIBUIÇÃO DE ENERGIA ELÉTRICA - FORNECIMENTO E INSTALAÇÃO. AF_12/2021</t>
        </is>
      </c>
      <c r="E101" s="18" t="inlineStr">
        <is>
          <t>M</t>
        </is>
      </c>
      <c r="F101" s="19" t="n">
        <v>3.0</v>
      </c>
      <c r="G101" s="20" t="n">
        <v>18.4</v>
      </c>
      <c r="H101" s="20" t="str">
        <f>TRUNC(G101 * (1 + 25.51 / 100), 2)</f>
      </c>
      <c r="I101" s="20" t="str">
        <f>TRUNC(F101 * h101, 2)</f>
      </c>
      <c r="J101" s="21" t="str">
        <f>i101 / 220048.84</f>
      </c>
    </row>
    <row customHeight="1" ht="26" r="102">
      <c r="A102" s="17" t="inlineStr">
        <is>
          <t> 12.10 </t>
        </is>
      </c>
      <c r="B102" s="19" t="inlineStr">
        <is>
          <t> 90447 </t>
        </is>
      </c>
      <c r="C102" s="17" t="inlineStr">
        <is>
          <t>SINAPI</t>
        </is>
      </c>
      <c r="D102" s="17" t="inlineStr">
        <is>
          <t>RASGO LINEAR MANUAL EM ALVENARIA, PARA ELETRODUTOS, DIÂMETROS MENORES OU IGUAIS A 40 MM. AF_09/2023</t>
        </is>
      </c>
      <c r="E102" s="18" t="inlineStr">
        <is>
          <t>M</t>
        </is>
      </c>
      <c r="F102" s="19" t="n">
        <v>28.6</v>
      </c>
      <c r="G102" s="20" t="n">
        <v>7.61</v>
      </c>
      <c r="H102" s="20" t="str">
        <f>TRUNC(G102 * (1 + 25.51 / 100), 2)</f>
      </c>
      <c r="I102" s="20" t="str">
        <f>TRUNC(F102 * h102, 2)</f>
      </c>
      <c r="J102" s="21" t="str">
        <f>i102 / 220048.84</f>
      </c>
    </row>
    <row customHeight="1" ht="39" r="103">
      <c r="A103" s="17" t="inlineStr">
        <is>
          <t> 12.11 </t>
        </is>
      </c>
      <c r="B103" s="19" t="inlineStr">
        <is>
          <t> 98527 </t>
        </is>
      </c>
      <c r="C103" s="17" t="inlineStr">
        <is>
          <t>SINAPI</t>
        </is>
      </c>
      <c r="D103" s="17" t="inlineStr">
        <is>
          <t>REMOÇÃO DE RAÍZES REMANESCENTES DE TRONCO DE ÁRVORE COM DIÂMETRO MAIOR OU IGUAL A 0,40 M E MENOR QUE 0,60 M. AF_03/2024</t>
        </is>
      </c>
      <c r="E103" s="18" t="inlineStr">
        <is>
          <t>UN</t>
        </is>
      </c>
      <c r="F103" s="19" t="n">
        <v>1.0</v>
      </c>
      <c r="G103" s="20" t="n">
        <v>211.4</v>
      </c>
      <c r="H103" s="20" t="str">
        <f>TRUNC(G103 * (1 + 25.51 / 100), 2)</f>
      </c>
      <c r="I103" s="20" t="str">
        <f>TRUNC(F103 * h103, 2)</f>
      </c>
      <c r="J103" s="21" t="str">
        <f>i103 / 220048.84</f>
      </c>
    </row>
    <row customHeight="1" ht="52" r="104">
      <c r="A104" s="17" t="inlineStr">
        <is>
          <t> 12.12 </t>
        </is>
      </c>
      <c r="B104" s="19" t="inlineStr">
        <is>
          <t> 91222 </t>
        </is>
      </c>
      <c r="C104" s="17" t="inlineStr">
        <is>
          <t>SINAPI</t>
        </is>
      </c>
      <c r="D104" s="17" t="inlineStr">
        <is>
          <t>RASGO LINEAR MANUAL EM ALVENARIA, PARA RAMAIS/ DISTRIBUIÇÃO DE INSTALAÇÕES HIDRÁULICAS, DIÂMETROS MAIORES QUE 40 MM E MENORES OU IGUAIS A 75 MM. AF_09/2023</t>
        </is>
      </c>
      <c r="E104" s="18" t="inlineStr">
        <is>
          <t>M</t>
        </is>
      </c>
      <c r="F104" s="19" t="n">
        <v>3.0</v>
      </c>
      <c r="G104" s="20" t="n">
        <v>8.09</v>
      </c>
      <c r="H104" s="20" t="str">
        <f>TRUNC(G104 * (1 + 25.51 / 100), 2)</f>
      </c>
      <c r="I104" s="20" t="str">
        <f>TRUNC(F104 * h104, 2)</f>
      </c>
      <c r="J104" s="21" t="str">
        <f>i104 / 220048.84</f>
      </c>
    </row>
    <row customHeight="1" ht="39" r="105">
      <c r="A105" s="17" t="inlineStr">
        <is>
          <t> 12.13 </t>
        </is>
      </c>
      <c r="B105" s="19" t="inlineStr">
        <is>
          <t> 104766 </t>
        </is>
      </c>
      <c r="C105" s="17" t="inlineStr">
        <is>
          <t>SINAPI</t>
        </is>
      </c>
      <c r="D105" s="17" t="inlineStr">
        <is>
          <t>CHUMBAMENTO LINEAR EM ALVENARIA PARA ELETRODUTOS COM DIÂMETROS MENORES OU IGUAIS A 40 MM. AF_09/2023</t>
        </is>
      </c>
      <c r="E105" s="18" t="inlineStr">
        <is>
          <t>M</t>
        </is>
      </c>
      <c r="F105" s="19" t="n">
        <v>28.6</v>
      </c>
      <c r="G105" s="20" t="n">
        <v>15.26</v>
      </c>
      <c r="H105" s="20" t="str">
        <f>TRUNC(G105 * (1 + 25.51 / 100), 2)</f>
      </c>
      <c r="I105" s="20" t="str">
        <f>TRUNC(F105 * h105, 2)</f>
      </c>
      <c r="J105" s="21" t="str">
        <f>i105 / 220048.84</f>
      </c>
    </row>
    <row customHeight="1" ht="52" r="106">
      <c r="A106" s="17" t="inlineStr">
        <is>
          <t> 12.14 </t>
        </is>
      </c>
      <c r="B106" s="19" t="inlineStr">
        <is>
          <t> 90467 </t>
        </is>
      </c>
      <c r="C106" s="17" t="inlineStr">
        <is>
          <t>SINAPI</t>
        </is>
      </c>
      <c r="D106" s="17" t="inlineStr">
        <is>
          <t>CHUMBAMENTO LINEAR EM ALVENARIA PARA RAMAIS/DISTRIBUIÇÃO DE INSTALAÇÕES HIDRÁULICAS COM DIÂMETROS MAIORES QUE 40 MM E MENORES OU IGUAIS A 75 MM. AF_09/2023</t>
        </is>
      </c>
      <c r="E106" s="18" t="inlineStr">
        <is>
          <t>M</t>
        </is>
      </c>
      <c r="F106" s="19" t="n">
        <v>3.0</v>
      </c>
      <c r="G106" s="20" t="n">
        <v>22.24</v>
      </c>
      <c r="H106" s="20" t="str">
        <f>TRUNC(G106 * (1 + 25.51 / 100), 2)</f>
      </c>
      <c r="I106" s="20" t="str">
        <f>TRUNC(F106 * h106, 2)</f>
      </c>
      <c r="J106" s="21" t="str">
        <f>i106 / 220048.84</f>
      </c>
    </row>
    <row customHeight="1" ht="39" r="107">
      <c r="A107" s="17" t="inlineStr">
        <is>
          <t> 12.15 </t>
        </is>
      </c>
      <c r="B107" s="19" t="inlineStr">
        <is>
          <t> 91893 </t>
        </is>
      </c>
      <c r="C107" s="17" t="inlineStr">
        <is>
          <t>SINAPI</t>
        </is>
      </c>
      <c r="D107" s="17" t="inlineStr">
        <is>
          <t>CURVA 90 GRAUS PARA ELETRODUTO, PVC, ROSCÁVEL, DN 32 MM (1"), PARA CIRCUITOS TERMINAIS, INSTALADA EM FORRO - FORNECIMENTO E INSTALAÇÃO. AF_03/2023</t>
        </is>
      </c>
      <c r="E107" s="18" t="inlineStr">
        <is>
          <t>UN</t>
        </is>
      </c>
      <c r="F107" s="19" t="n">
        <v>6.0</v>
      </c>
      <c r="G107" s="20" t="n">
        <v>16.03</v>
      </c>
      <c r="H107" s="20" t="str">
        <f>TRUNC(G107 * (1 + 25.51 / 100), 2)</f>
      </c>
      <c r="I107" s="20" t="str">
        <f>TRUNC(F107 * h107, 2)</f>
      </c>
      <c r="J107" s="21" t="str">
        <f>i107 / 220048.84</f>
      </c>
    </row>
    <row customHeight="1" ht="39" r="108">
      <c r="A108" s="17" t="inlineStr">
        <is>
          <t> 12.16 </t>
        </is>
      </c>
      <c r="B108" s="19" t="inlineStr">
        <is>
          <t> 91885 </t>
        </is>
      </c>
      <c r="C108" s="17" t="inlineStr">
        <is>
          <t>SINAPI</t>
        </is>
      </c>
      <c r="D108" s="17" t="inlineStr">
        <is>
          <t>LUVA PARA ELETRODUTO, PVC, ROSCÁVEL, DN 32 MM (1"), PARA CIRCUITOS TERMINAIS, INSTALADA EM PAREDE - FORNECIMENTO E INSTALAÇÃO. AF_03/2023</t>
        </is>
      </c>
      <c r="E108" s="18" t="inlineStr">
        <is>
          <t>UN</t>
        </is>
      </c>
      <c r="F108" s="19" t="n">
        <v>11.0</v>
      </c>
      <c r="G108" s="20" t="n">
        <v>12.31</v>
      </c>
      <c r="H108" s="20" t="str">
        <f>TRUNC(G108 * (1 + 25.51 / 100), 2)</f>
      </c>
      <c r="I108" s="20" t="str">
        <f>TRUNC(F108 * h108, 2)</f>
      </c>
      <c r="J108" s="21" t="str">
        <f>i108 / 220048.84</f>
      </c>
    </row>
    <row customHeight="1" ht="39" r="109">
      <c r="A109" s="17" t="inlineStr">
        <is>
          <t> 12.17 </t>
        </is>
      </c>
      <c r="B109" s="19" t="inlineStr">
        <is>
          <t> 97599 </t>
        </is>
      </c>
      <c r="C109" s="17" t="inlineStr">
        <is>
          <t>SINAPI</t>
        </is>
      </c>
      <c r="D109" s="17" t="inlineStr">
        <is>
          <t>LUMINÁRIA DE EMERGÊNCIA, COM 30 LÂMPADAS LED DE 2 W, SEM REATOR - FORNECIMENTO E INSTALAÇÃO. AF_09/2024</t>
        </is>
      </c>
      <c r="E109" s="18" t="inlineStr">
        <is>
          <t>UN</t>
        </is>
      </c>
      <c r="F109" s="19" t="n">
        <v>20.0</v>
      </c>
      <c r="G109" s="20" t="n">
        <v>20.05</v>
      </c>
      <c r="H109" s="20" t="str">
        <f>TRUNC(G109 * (1 + 25.51 / 100), 2)</f>
      </c>
      <c r="I109" s="20" t="str">
        <f>TRUNC(F109 * h109, 2)</f>
      </c>
      <c r="J109" s="21" t="str">
        <f>i109 / 220048.84</f>
      </c>
    </row>
    <row customHeight="1" ht="26" r="110">
      <c r="A110" s="17" t="inlineStr">
        <is>
          <t> 12.18 </t>
        </is>
      </c>
      <c r="B110" s="19" t="inlineStr">
        <is>
          <t> 10909 </t>
        </is>
      </c>
      <c r="C110" s="17" t="inlineStr">
        <is>
          <t>ORSE</t>
        </is>
      </c>
      <c r="D110" s="17" t="inlineStr">
        <is>
          <t>Fornecimento e instalação de tampa cega p/condulete caixa 4" x 2"</t>
        </is>
      </c>
      <c r="E110" s="18" t="inlineStr">
        <is>
          <t>un</t>
        </is>
      </c>
      <c r="F110" s="19" t="n">
        <v>15.0</v>
      </c>
      <c r="G110" s="20" t="n">
        <v>5.52</v>
      </c>
      <c r="H110" s="20" t="str">
        <f>TRUNC(G110 * (1 + 25.51 / 100), 2)</f>
      </c>
      <c r="I110" s="20" t="str">
        <f>TRUNC(F110 * h110, 2)</f>
      </c>
      <c r="J110" s="21" t="str">
        <f>i110 / 220048.84</f>
      </c>
    </row>
    <row customHeight="1" ht="26" r="111">
      <c r="A111" s="17" t="inlineStr">
        <is>
          <t> 12.19 </t>
        </is>
      </c>
      <c r="B111" s="19" t="inlineStr">
        <is>
          <t> 9669 </t>
        </is>
      </c>
      <c r="C111" s="17" t="inlineStr">
        <is>
          <t>ORSE</t>
        </is>
      </c>
      <c r="D111" s="17" t="inlineStr">
        <is>
          <t>Perfilado, pré-zincado  a fogo, perfurado 38 x 38 x 6000mm</t>
        </is>
      </c>
      <c r="E111" s="18" t="inlineStr">
        <is>
          <t>un</t>
        </is>
      </c>
      <c r="F111" s="19" t="n">
        <v>3.0</v>
      </c>
      <c r="G111" s="20" t="n">
        <v>84.54</v>
      </c>
      <c r="H111" s="20" t="str">
        <f>TRUNC(G111 * (1 + 25.51 / 100), 2)</f>
      </c>
      <c r="I111" s="20" t="str">
        <f>TRUNC(F111 * h111, 2)</f>
      </c>
      <c r="J111" s="21" t="str">
        <f>i111 / 220048.84</f>
      </c>
    </row>
    <row customHeight="1" ht="24" r="112">
      <c r="A112" s="17" t="inlineStr">
        <is>
          <t> 12.20 </t>
        </is>
      </c>
      <c r="B112" s="19" t="inlineStr">
        <is>
          <t> 9988 </t>
        </is>
      </c>
      <c r="C112" s="17" t="inlineStr">
        <is>
          <t>ORSE</t>
        </is>
      </c>
      <c r="D112" s="17" t="inlineStr">
        <is>
          <t>Terminal 38 x 38 mm para eletrocalha metalica</t>
        </is>
      </c>
      <c r="E112" s="18" t="inlineStr">
        <is>
          <t>un</t>
        </is>
      </c>
      <c r="F112" s="19" t="n">
        <v>3.0</v>
      </c>
      <c r="G112" s="20" t="n">
        <v>5.51</v>
      </c>
      <c r="H112" s="20" t="str">
        <f>TRUNC(G112 * (1 + 25.51 / 100), 2)</f>
      </c>
      <c r="I112" s="20" t="str">
        <f>TRUNC(F112 * h112, 2)</f>
      </c>
      <c r="J112" s="21" t="str">
        <f>i112 / 220048.84</f>
      </c>
    </row>
    <row customHeight="1" ht="26" r="113">
      <c r="A113" s="17" t="inlineStr">
        <is>
          <t> 12.21 </t>
        </is>
      </c>
      <c r="B113" s="19" t="inlineStr">
        <is>
          <t> 11405 </t>
        </is>
      </c>
      <c r="C113" s="17" t="inlineStr">
        <is>
          <t>ORSE</t>
        </is>
      </c>
      <c r="D113" s="17" t="inlineStr">
        <is>
          <t>Junção interna tipo "I" para perfilado, ( ref.: Mopa ou similar)</t>
        </is>
      </c>
      <c r="E113" s="18" t="inlineStr">
        <is>
          <t>un</t>
        </is>
      </c>
      <c r="F113" s="19" t="n">
        <v>3.0</v>
      </c>
      <c r="G113" s="20" t="n">
        <v>11.33</v>
      </c>
      <c r="H113" s="20" t="str">
        <f>TRUNC(G113 * (1 + 25.51 / 100), 2)</f>
      </c>
      <c r="I113" s="20" t="str">
        <f>TRUNC(F113 * h113, 2)</f>
      </c>
      <c r="J113" s="21" t="str">
        <f>i113 / 220048.84</f>
      </c>
    </row>
    <row customHeight="1" ht="26" r="114">
      <c r="A114" s="17" t="inlineStr">
        <is>
          <t> 12.22 </t>
        </is>
      </c>
      <c r="B114" s="19" t="inlineStr">
        <is>
          <t> 724 </t>
        </is>
      </c>
      <c r="C114" s="17" t="inlineStr">
        <is>
          <t>ORSE</t>
        </is>
      </c>
      <c r="D114" s="17" t="inlineStr">
        <is>
          <t>Fornecimento e instalação de saída horizontal para eletroduto 1" (ref. vl 33 valemam ou similar)</t>
        </is>
      </c>
      <c r="E114" s="18" t="inlineStr">
        <is>
          <t>un</t>
        </is>
      </c>
      <c r="F114" s="19" t="n">
        <v>4.0</v>
      </c>
      <c r="G114" s="20" t="n">
        <v>9.3</v>
      </c>
      <c r="H114" s="20" t="str">
        <f>TRUNC(G114 * (1 + 25.51 / 100), 2)</f>
      </c>
      <c r="I114" s="20" t="str">
        <f>TRUNC(F114 * h114, 2)</f>
      </c>
      <c r="J114" s="21" t="str">
        <f>i114 / 220048.84</f>
      </c>
    </row>
    <row customHeight="1" ht="26" r="115">
      <c r="A115" s="17" t="inlineStr">
        <is>
          <t> 12.23 </t>
        </is>
      </c>
      <c r="B115" s="19" t="inlineStr">
        <is>
          <t> 725 </t>
        </is>
      </c>
      <c r="C115" s="17" t="inlineStr">
        <is>
          <t>ORSE</t>
        </is>
      </c>
      <c r="D115" s="17" t="inlineStr">
        <is>
          <t>Fornecimento e instalação de saída horizontal para eletroduto 1 1/2" (ref. vl33 valemam ou similar)</t>
        </is>
      </c>
      <c r="E115" s="18" t="inlineStr">
        <is>
          <t>un</t>
        </is>
      </c>
      <c r="F115" s="19" t="n">
        <v>1.0</v>
      </c>
      <c r="G115" s="20" t="n">
        <v>12.45</v>
      </c>
      <c r="H115" s="20" t="str">
        <f>TRUNC(G115 * (1 + 25.51 / 100), 2)</f>
      </c>
      <c r="I115" s="20" t="str">
        <f>TRUNC(F115 * h115, 2)</f>
      </c>
      <c r="J115" s="21" t="str">
        <f>i115 / 220048.84</f>
      </c>
    </row>
    <row customHeight="1" ht="26" r="116">
      <c r="A116" s="17" t="inlineStr">
        <is>
          <t> 12.24 </t>
        </is>
      </c>
      <c r="B116" s="19" t="inlineStr">
        <is>
          <t> 4223 </t>
        </is>
      </c>
      <c r="C116" s="17" t="inlineStr">
        <is>
          <t>ORSE</t>
        </is>
      </c>
      <c r="D116" s="17" t="inlineStr">
        <is>
          <t>Tubo metálico flexível d=1", Sealtubo ou similar, fornecimento</t>
        </is>
      </c>
      <c r="E116" s="18" t="inlineStr">
        <is>
          <t>m</t>
        </is>
      </c>
      <c r="F116" s="19" t="n">
        <v>2.0</v>
      </c>
      <c r="G116" s="20" t="n">
        <v>10.99</v>
      </c>
      <c r="H116" s="20" t="str">
        <f>TRUNC(G116 * (1 + 25.51 / 100), 2)</f>
      </c>
      <c r="I116" s="20" t="str">
        <f>TRUNC(F116 * h116, 2)</f>
      </c>
      <c r="J116" s="21" t="str">
        <f>i116 / 220048.84</f>
      </c>
    </row>
    <row customHeight="1" ht="26" r="117">
      <c r="A117" s="17" t="inlineStr">
        <is>
          <t> 12.25 </t>
        </is>
      </c>
      <c r="B117" s="19" t="inlineStr">
        <is>
          <t> 93673 </t>
        </is>
      </c>
      <c r="C117" s="17" t="inlineStr">
        <is>
          <t>SINAPI</t>
        </is>
      </c>
      <c r="D117" s="17" t="inlineStr">
        <is>
          <t>DISJUNTOR TRIPOLAR TIPO DIN, CORRENTE NOMINAL DE 50A - FORNECIMENTO E INSTALAÇÃO. AF_10/2020</t>
        </is>
      </c>
      <c r="E117" s="18" t="inlineStr">
        <is>
          <t>UN</t>
        </is>
      </c>
      <c r="F117" s="19" t="n">
        <v>2.0</v>
      </c>
      <c r="G117" s="20" t="n">
        <v>99.42</v>
      </c>
      <c r="H117" s="20" t="str">
        <f>TRUNC(G117 * (1 + 25.51 / 100), 2)</f>
      </c>
      <c r="I117" s="20" t="str">
        <f>TRUNC(F117 * h117, 2)</f>
      </c>
      <c r="J117" s="21" t="str">
        <f>i117 / 220048.84</f>
      </c>
    </row>
    <row customHeight="1" ht="26" r="118">
      <c r="A118" s="17" t="inlineStr">
        <is>
          <t> 12.26 </t>
        </is>
      </c>
      <c r="B118" s="19" t="inlineStr">
        <is>
          <t> 93654 </t>
        </is>
      </c>
      <c r="C118" s="17" t="inlineStr">
        <is>
          <t>SINAPI</t>
        </is>
      </c>
      <c r="D118" s="17" t="inlineStr">
        <is>
          <t>DISJUNTOR MONOPOLAR TIPO DIN, CORRENTE NOMINAL DE 16A - FORNECIMENTO E INSTALAÇÃO. AF_10/2020</t>
        </is>
      </c>
      <c r="E118" s="18" t="inlineStr">
        <is>
          <t>UN</t>
        </is>
      </c>
      <c r="F118" s="19" t="n">
        <v>7.0</v>
      </c>
      <c r="G118" s="20" t="n">
        <v>12.74</v>
      </c>
      <c r="H118" s="20" t="str">
        <f>TRUNC(G118 * (1 + 25.51 / 100), 2)</f>
      </c>
      <c r="I118" s="20" t="str">
        <f>TRUNC(F118 * h118, 2)</f>
      </c>
      <c r="J118" s="21" t="str">
        <f>i118 / 220048.84</f>
      </c>
    </row>
    <row customHeight="1" ht="26" r="119">
      <c r="A119" s="17" t="inlineStr">
        <is>
          <t> 12.27 </t>
        </is>
      </c>
      <c r="B119" s="19" t="inlineStr">
        <is>
          <t> 453 </t>
        </is>
      </c>
      <c r="C119" s="17" t="inlineStr">
        <is>
          <t>ORSE</t>
        </is>
      </c>
      <c r="D119" s="17" t="inlineStr">
        <is>
          <t>Disjuntor termomagnetico tripolar 100 A, padrão DIN (Europeu - linha branca),65KA</t>
        </is>
      </c>
      <c r="E119" s="18" t="inlineStr">
        <is>
          <t>un</t>
        </is>
      </c>
      <c r="F119" s="19" t="n">
        <v>1.0</v>
      </c>
      <c r="G119" s="20" t="n">
        <v>531.44</v>
      </c>
      <c r="H119" s="20" t="str">
        <f>TRUNC(G119 * (1 + 25.51 / 100), 2)</f>
      </c>
      <c r="I119" s="20" t="str">
        <f>TRUNC(F119 * h119, 2)</f>
      </c>
      <c r="J119" s="21" t="str">
        <f>i119 / 220048.84</f>
      </c>
    </row>
    <row customHeight="1" ht="26" r="120">
      <c r="A120" s="17" t="inlineStr">
        <is>
          <t> 12.28 </t>
        </is>
      </c>
      <c r="B120" s="19" t="inlineStr">
        <is>
          <t> 93655 </t>
        </is>
      </c>
      <c r="C120" s="17" t="inlineStr">
        <is>
          <t>SINAPI</t>
        </is>
      </c>
      <c r="D120" s="17" t="inlineStr">
        <is>
          <t>DISJUNTOR MONOPOLAR TIPO DIN, CORRENTE NOMINAL DE 20A - FORNECIMENTO E INSTALAÇÃO. AF_10/2020</t>
        </is>
      </c>
      <c r="E120" s="18" t="inlineStr">
        <is>
          <t>UN</t>
        </is>
      </c>
      <c r="F120" s="19" t="n">
        <v>2.0</v>
      </c>
      <c r="G120" s="20" t="n">
        <v>14.01</v>
      </c>
      <c r="H120" s="20" t="str">
        <f>TRUNC(G120 * (1 + 25.51 / 100), 2)</f>
      </c>
      <c r="I120" s="20" t="str">
        <f>TRUNC(F120 * h120, 2)</f>
      </c>
      <c r="J120" s="21" t="str">
        <f>i120 / 220048.84</f>
      </c>
    </row>
    <row customHeight="1" ht="26" r="121">
      <c r="A121" s="17" t="inlineStr">
        <is>
          <t> 12.29 </t>
        </is>
      </c>
      <c r="B121" s="19" t="inlineStr">
        <is>
          <t> 93657 </t>
        </is>
      </c>
      <c r="C121" s="17" t="inlineStr">
        <is>
          <t>SINAPI</t>
        </is>
      </c>
      <c r="D121" s="17" t="inlineStr">
        <is>
          <t>DISJUNTOR MONOPOLAR TIPO DIN, CORRENTE NOMINAL DE 32A - FORNECIMENTO E INSTALAÇÃO. AF_10/2020</t>
        </is>
      </c>
      <c r="E121" s="18" t="inlineStr">
        <is>
          <t>UN</t>
        </is>
      </c>
      <c r="F121" s="19" t="n">
        <v>3.0</v>
      </c>
      <c r="G121" s="20" t="n">
        <v>15.51</v>
      </c>
      <c r="H121" s="20" t="str">
        <f>TRUNC(G121 * (1 + 25.51 / 100), 2)</f>
      </c>
      <c r="I121" s="20" t="str">
        <f>TRUNC(F121 * h121, 2)</f>
      </c>
      <c r="J121" s="21" t="str">
        <f>i121 / 220048.84</f>
      </c>
    </row>
    <row customHeight="1" ht="26" r="122">
      <c r="A122" s="17" t="inlineStr">
        <is>
          <t> 12.30 </t>
        </is>
      </c>
      <c r="B122" s="19" t="inlineStr">
        <is>
          <t> TRE 084 </t>
        </is>
      </c>
      <c r="C122" s="17" t="inlineStr">
        <is>
          <t>Próprio</t>
        </is>
      </c>
      <c r="D122" s="17" t="inlineStr">
        <is>
          <t>DISPOSITIVO DPS CLASSE II, 1 POLO, TENSAO MAXIMA DE 275 V, CORRENTE MAXIMA DE *30* KA (TIPO AC)</t>
        </is>
      </c>
      <c r="E122" s="18" t="inlineStr">
        <is>
          <t>UND</t>
        </is>
      </c>
      <c r="F122" s="19" t="n">
        <v>4.0</v>
      </c>
      <c r="G122" s="20" t="n">
        <v>102.25</v>
      </c>
      <c r="H122" s="20" t="str">
        <f>TRUNC(G122 * (1 + 25.51 / 100), 2)</f>
      </c>
      <c r="I122" s="20" t="str">
        <f>TRUNC(F122 * h122, 2)</f>
      </c>
      <c r="J122" s="21" t="str">
        <f>i122 / 220048.84</f>
      </c>
    </row>
    <row customHeight="1" ht="26" r="123">
      <c r="A123" s="17" t="inlineStr">
        <is>
          <t> 12.31 </t>
        </is>
      </c>
      <c r="B123" s="19" t="inlineStr">
        <is>
          <t> 8006 </t>
        </is>
      </c>
      <c r="C123" s="17" t="inlineStr">
        <is>
          <t>ORSE</t>
        </is>
      </c>
      <c r="D123" s="17" t="inlineStr">
        <is>
          <t>Terminal de compressão para cabo de   2,50 mm2 - fornecimento e instalação</t>
        </is>
      </c>
      <c r="E123" s="18" t="inlineStr">
        <is>
          <t>un</t>
        </is>
      </c>
      <c r="F123" s="19" t="n">
        <v>25.0</v>
      </c>
      <c r="G123" s="20" t="n">
        <v>1.91</v>
      </c>
      <c r="H123" s="20" t="str">
        <f>TRUNC(G123 * (1 + 25.51 / 100), 2)</f>
      </c>
      <c r="I123" s="20" t="str">
        <f>TRUNC(F123 * h123, 2)</f>
      </c>
      <c r="J123" s="21" t="str">
        <f>i123 / 220048.84</f>
      </c>
    </row>
    <row customHeight="1" ht="26" r="124">
      <c r="A124" s="17" t="inlineStr">
        <is>
          <t> 12.32 </t>
        </is>
      </c>
      <c r="B124" s="19" t="inlineStr">
        <is>
          <t> 7925 </t>
        </is>
      </c>
      <c r="C124" s="17" t="inlineStr">
        <is>
          <t>ORSE</t>
        </is>
      </c>
      <c r="D124" s="17" t="inlineStr">
        <is>
          <t>Terminal de compressão para cabo de   6 mm2 - fornecimento e instalação</t>
        </is>
      </c>
      <c r="E124" s="18" t="inlineStr">
        <is>
          <t>un</t>
        </is>
      </c>
      <c r="F124" s="19" t="n">
        <v>15.0</v>
      </c>
      <c r="G124" s="20" t="n">
        <v>2.43</v>
      </c>
      <c r="H124" s="20" t="str">
        <f>TRUNC(G124 * (1 + 25.51 / 100), 2)</f>
      </c>
      <c r="I124" s="20" t="str">
        <f>TRUNC(F124 * h124, 2)</f>
      </c>
      <c r="J124" s="21" t="str">
        <f>i124 / 220048.84</f>
      </c>
    </row>
    <row customHeight="1" ht="26" r="125">
      <c r="A125" s="17" t="inlineStr">
        <is>
          <t> 12.33 </t>
        </is>
      </c>
      <c r="B125" s="19" t="inlineStr">
        <is>
          <t> 7926 </t>
        </is>
      </c>
      <c r="C125" s="17" t="inlineStr">
        <is>
          <t>ORSE</t>
        </is>
      </c>
      <c r="D125" s="17" t="inlineStr">
        <is>
          <t>Terminal de compressão para cabo de  10 mm2 - fornecimento e instalação</t>
        </is>
      </c>
      <c r="E125" s="18" t="inlineStr">
        <is>
          <t>un</t>
        </is>
      </c>
      <c r="F125" s="19" t="n">
        <v>10.0</v>
      </c>
      <c r="G125" s="20" t="n">
        <v>2.55</v>
      </c>
      <c r="H125" s="20" t="str">
        <f>TRUNC(G125 * (1 + 25.51 / 100), 2)</f>
      </c>
      <c r="I125" s="20" t="str">
        <f>TRUNC(F125 * h125, 2)</f>
      </c>
      <c r="J125" s="21" t="str">
        <f>i125 / 220048.84</f>
      </c>
    </row>
    <row customHeight="1" ht="26" r="126">
      <c r="A126" s="17" t="inlineStr">
        <is>
          <t> 12.34 </t>
        </is>
      </c>
      <c r="B126" s="19" t="inlineStr">
        <is>
          <t> 7927 </t>
        </is>
      </c>
      <c r="C126" s="17" t="inlineStr">
        <is>
          <t>ORSE</t>
        </is>
      </c>
      <c r="D126" s="17" t="inlineStr">
        <is>
          <t>Terminal de compressão para cabo de  16 mm2 - fornecimento e instalação</t>
        </is>
      </c>
      <c r="E126" s="18" t="inlineStr">
        <is>
          <t>un</t>
        </is>
      </c>
      <c r="F126" s="19" t="n">
        <v>8.0</v>
      </c>
      <c r="G126" s="20" t="n">
        <v>2.87</v>
      </c>
      <c r="H126" s="20" t="str">
        <f>TRUNC(G126 * (1 + 25.51 / 100), 2)</f>
      </c>
      <c r="I126" s="20" t="str">
        <f>TRUNC(F126 * h126, 2)</f>
      </c>
      <c r="J126" s="21" t="str">
        <f>i126 / 220048.84</f>
      </c>
    </row>
    <row customHeight="1" ht="26" r="127">
      <c r="A127" s="17" t="inlineStr">
        <is>
          <t> 12.35 </t>
        </is>
      </c>
      <c r="B127" s="19" t="inlineStr">
        <is>
          <t> 698 </t>
        </is>
      </c>
      <c r="C127" s="17" t="inlineStr">
        <is>
          <t>ORSE</t>
        </is>
      </c>
      <c r="D127" s="17" t="inlineStr">
        <is>
          <t>Fornecimento e colocação de anilha para identificação</t>
        </is>
      </c>
      <c r="E127" s="18" t="inlineStr">
        <is>
          <t>un</t>
        </is>
      </c>
      <c r="F127" s="19" t="n">
        <v>300.0</v>
      </c>
      <c r="G127" s="20" t="n">
        <v>0.8</v>
      </c>
      <c r="H127" s="20" t="str">
        <f>TRUNC(G127 * (1 + 25.51 / 100), 2)</f>
      </c>
      <c r="I127" s="20" t="str">
        <f>TRUNC(F127 * h127, 2)</f>
      </c>
      <c r="J127" s="21" t="str">
        <f>i127 / 220048.84</f>
      </c>
    </row>
    <row customHeight="1" ht="39" r="128">
      <c r="A128" s="17" t="inlineStr">
        <is>
          <t> 12.36 </t>
        </is>
      </c>
      <c r="B128" s="19" t="inlineStr">
        <is>
          <t> 11303 </t>
        </is>
      </c>
      <c r="C128" s="17" t="inlineStr">
        <is>
          <t>ORSE</t>
        </is>
      </c>
      <c r="D128" s="17" t="inlineStr">
        <is>
          <t>Conector reto de aluminio para eletroduto de 1", para adaptar entrada de eletroduto metalico flexivel em quadros - fornecimento e instalação</t>
        </is>
      </c>
      <c r="E128" s="18" t="inlineStr">
        <is>
          <t>un</t>
        </is>
      </c>
      <c r="F128" s="19" t="n">
        <v>4.0</v>
      </c>
      <c r="G128" s="20" t="n">
        <v>6.92</v>
      </c>
      <c r="H128" s="20" t="str">
        <f>TRUNC(G128 * (1 + 25.51 / 100), 2)</f>
      </c>
      <c r="I128" s="20" t="str">
        <f>TRUNC(F128 * h128, 2)</f>
      </c>
      <c r="J128" s="21" t="str">
        <f>i128 / 220048.84</f>
      </c>
    </row>
    <row customHeight="1" ht="24" r="129">
      <c r="A129" s="17" t="inlineStr">
        <is>
          <t> 12.37 </t>
        </is>
      </c>
      <c r="B129" s="19" t="inlineStr">
        <is>
          <t> 2841 </t>
        </is>
      </c>
      <c r="C129" s="17" t="inlineStr">
        <is>
          <t>ORSE</t>
        </is>
      </c>
      <c r="D129" s="17" t="inlineStr">
        <is>
          <t>Fornecimento de arame de ferro galvanizado 12 bwg</t>
        </is>
      </c>
      <c r="E129" s="18" t="inlineStr">
        <is>
          <t>kg</t>
        </is>
      </c>
      <c r="F129" s="19" t="n">
        <v>1.0</v>
      </c>
      <c r="G129" s="20" t="n">
        <v>25.0</v>
      </c>
      <c r="H129" s="20" t="str">
        <f>TRUNC(G129 * (1 + 25.51 / 100), 2)</f>
      </c>
      <c r="I129" s="20" t="str">
        <f>TRUNC(F129 * h129, 2)</f>
      </c>
      <c r="J129" s="21" t="str">
        <f>i129 / 220048.84</f>
      </c>
    </row>
    <row customHeight="1" ht="26" r="130">
      <c r="A130" s="17" t="inlineStr">
        <is>
          <t> 12.38 </t>
        </is>
      </c>
      <c r="B130" s="19" t="inlineStr">
        <is>
          <t> 651 </t>
        </is>
      </c>
      <c r="C130" s="17" t="inlineStr">
        <is>
          <t>ORSE</t>
        </is>
      </c>
      <c r="D130" s="17" t="inlineStr">
        <is>
          <t>Caixa de ferro galvanizado 4" x 4" com tampa Pial ou similar</t>
        </is>
      </c>
      <c r="E130" s="18" t="inlineStr">
        <is>
          <t>un</t>
        </is>
      </c>
      <c r="F130" s="19" t="n">
        <v>8.0</v>
      </c>
      <c r="G130" s="20" t="n">
        <v>19.35</v>
      </c>
      <c r="H130" s="20" t="str">
        <f>TRUNC(G130 * (1 + 25.51 / 100), 2)</f>
      </c>
      <c r="I130" s="20" t="str">
        <f>TRUNC(F130 * h130, 2)</f>
      </c>
      <c r="J130" s="21" t="str">
        <f>i130 / 220048.84</f>
      </c>
    </row>
    <row customHeight="1" ht="26" r="131">
      <c r="A131" s="17" t="inlineStr">
        <is>
          <t> 12.39 </t>
        </is>
      </c>
      <c r="B131" s="19" t="inlineStr">
        <is>
          <t> 346 </t>
        </is>
      </c>
      <c r="C131" s="17" t="inlineStr">
        <is>
          <t>ORSE</t>
        </is>
      </c>
      <c r="D131" s="17" t="inlineStr">
        <is>
          <t>Bucha com arruela em liga especial zamak p/eletroduto 40mm, d=1 1/2"</t>
        </is>
      </c>
      <c r="E131" s="18" t="inlineStr">
        <is>
          <t>un</t>
        </is>
      </c>
      <c r="F131" s="19" t="n">
        <v>1.0</v>
      </c>
      <c r="G131" s="20" t="n">
        <v>3.83</v>
      </c>
      <c r="H131" s="20" t="str">
        <f>TRUNC(G131 * (1 + 25.51 / 100), 2)</f>
      </c>
      <c r="I131" s="20" t="str">
        <f>TRUNC(F131 * h131, 2)</f>
      </c>
      <c r="J131" s="21" t="str">
        <f>i131 / 220048.84</f>
      </c>
    </row>
    <row customHeight="1" ht="26" r="132">
      <c r="A132" s="17" t="inlineStr">
        <is>
          <t> 12.40 </t>
        </is>
      </c>
      <c r="B132" s="19" t="inlineStr">
        <is>
          <t> 100903 </t>
        </is>
      </c>
      <c r="C132" s="17" t="inlineStr">
        <is>
          <t>SINAPI</t>
        </is>
      </c>
      <c r="D132" s="17" t="inlineStr">
        <is>
          <t>LÂMPADA TUBULAR LED DE 18/20 W, COM SOQUETE, BASE G13 - FORNECIMENTO E INSTALAÇÃO. AF_09/2024_PS</t>
        </is>
      </c>
      <c r="E132" s="18" t="inlineStr">
        <is>
          <t>UN</t>
        </is>
      </c>
      <c r="F132" s="19" t="n">
        <v>25.0</v>
      </c>
      <c r="G132" s="20" t="n">
        <v>28.51</v>
      </c>
      <c r="H132" s="20" t="str">
        <f>TRUNC(G132 * (1 + 25.51 / 100), 2)</f>
      </c>
      <c r="I132" s="20" t="str">
        <f>TRUNC(F132 * h132, 2)</f>
      </c>
      <c r="J132" s="21" t="str">
        <f>i132 / 220048.84</f>
      </c>
    </row>
    <row customHeight="1" ht="26" r="133">
      <c r="A133" s="17" t="inlineStr">
        <is>
          <t> 12.41 </t>
        </is>
      </c>
      <c r="B133" s="19" t="inlineStr">
        <is>
          <t> 100902 </t>
        </is>
      </c>
      <c r="C133" s="17" t="inlineStr">
        <is>
          <t>SINAPI</t>
        </is>
      </c>
      <c r="D133" s="17" t="inlineStr">
        <is>
          <t>LÂMPADA TUBULAR LED DE 9/10 W, COM SOQUETE, BASE G13 - FORNECIMENTO E INSTALAÇÃO. AF_09/2024_PS</t>
        </is>
      </c>
      <c r="E133" s="18" t="inlineStr">
        <is>
          <t>UN</t>
        </is>
      </c>
      <c r="F133" s="19" t="n">
        <v>10.0</v>
      </c>
      <c r="G133" s="20" t="n">
        <v>25.22</v>
      </c>
      <c r="H133" s="20" t="str">
        <f>TRUNC(G133 * (1 + 25.51 / 100), 2)</f>
      </c>
      <c r="I133" s="20" t="str">
        <f>TRUNC(F133 * h133, 2)</f>
      </c>
      <c r="J133" s="21" t="str">
        <f>i133 / 220048.84</f>
      </c>
    </row>
    <row customHeight="1" ht="26" r="134">
      <c r="A134" s="17" t="inlineStr">
        <is>
          <t> 12.42 </t>
        </is>
      </c>
      <c r="B134" s="19" t="inlineStr">
        <is>
          <t> 650 </t>
        </is>
      </c>
      <c r="C134" s="17" t="inlineStr">
        <is>
          <t>ORSE</t>
        </is>
      </c>
      <c r="D134" s="17" t="inlineStr">
        <is>
          <t>Caixa de passagem 20x20x12cm, em chapa aço galvanizado, embutida</t>
        </is>
      </c>
      <c r="E134" s="18" t="inlineStr">
        <is>
          <t>un</t>
        </is>
      </c>
      <c r="F134" s="19" t="n">
        <v>2.0</v>
      </c>
      <c r="G134" s="20" t="n">
        <v>71.14</v>
      </c>
      <c r="H134" s="20" t="str">
        <f>TRUNC(G134 * (1 + 25.51 / 100), 2)</f>
      </c>
      <c r="I134" s="20" t="str">
        <f>TRUNC(F134 * h134, 2)</f>
      </c>
      <c r="J134" s="21" t="str">
        <f>i134 / 220048.84</f>
      </c>
    </row>
    <row customHeight="1" ht="24" r="135">
      <c r="A135" s="9" t="inlineStr">
        <is>
          <t> 13 </t>
        </is>
      </c>
      <c r="B135" s="9"/>
      <c r="C135" s="9"/>
      <c r="D135" s="9" t="inlineStr">
        <is>
          <t>INSTALAÇÕES DE CABEAMENTO ESTRUTURADO</t>
        </is>
      </c>
      <c r="E135" s="9"/>
      <c r="F135" s="11"/>
      <c r="G135" s="9"/>
      <c r="H135" s="9"/>
      <c r="I135" s="12" t="n">
        <v>26248.87</v>
      </c>
      <c r="J135" s="13" t="str">
        <f>i135 / 220048.84</f>
      </c>
    </row>
    <row customHeight="1" ht="26" r="136">
      <c r="A136" s="17" t="inlineStr">
        <is>
          <t> 13.1 </t>
        </is>
      </c>
      <c r="B136" s="19" t="inlineStr">
        <is>
          <t> 11227 </t>
        </is>
      </c>
      <c r="C136" s="17" t="inlineStr">
        <is>
          <t>ORSE</t>
        </is>
      </c>
      <c r="D136" s="17" t="inlineStr">
        <is>
          <t>Fornecimento e montagem de rack fechado tipo armário 19" x 36u x 600mm</t>
        </is>
      </c>
      <c r="E136" s="18" t="inlineStr">
        <is>
          <t>un</t>
        </is>
      </c>
      <c r="F136" s="19" t="n">
        <v>1.0</v>
      </c>
      <c r="G136" s="20" t="n">
        <v>2246.23</v>
      </c>
      <c r="H136" s="20" t="str">
        <f>TRUNC(G136 * (1 + 25.51 / 100), 2)</f>
      </c>
      <c r="I136" s="20" t="str">
        <f>TRUNC(F136 * h136, 2)</f>
      </c>
      <c r="J136" s="21" t="str">
        <f>i136 / 220048.84</f>
      </c>
    </row>
    <row customHeight="1" ht="26" r="137">
      <c r="A137" s="17" t="inlineStr">
        <is>
          <t> 13.2 </t>
        </is>
      </c>
      <c r="B137" s="19" t="inlineStr">
        <is>
          <t> PROPRIA 338 </t>
        </is>
      </c>
      <c r="C137" s="17" t="inlineStr">
        <is>
          <t>Próprio</t>
        </is>
      </c>
      <c r="D137" s="17" t="inlineStr">
        <is>
          <t>FORNECIMENTO E INSTALAÇÃO DE SWITCH GERENCIÁVEL L2+ COM 24 PORTAS + 4 PORTAS SFP</t>
        </is>
      </c>
      <c r="E137" s="18" t="inlineStr">
        <is>
          <t>UND</t>
        </is>
      </c>
      <c r="F137" s="19" t="n">
        <v>2.0</v>
      </c>
      <c r="G137" s="20" t="n">
        <v>1471.17</v>
      </c>
      <c r="H137" s="20" t="str">
        <f>TRUNC(G137 * (1 + 25.51 / 100), 2)</f>
      </c>
      <c r="I137" s="20" t="str">
        <f>TRUNC(F137 * h137, 2)</f>
      </c>
      <c r="J137" s="21" t="str">
        <f>i137 / 220048.84</f>
      </c>
    </row>
    <row customHeight="1" ht="26" r="138">
      <c r="A138" s="17" t="inlineStr">
        <is>
          <t> 13.3 </t>
        </is>
      </c>
      <c r="B138" s="19" t="inlineStr">
        <is>
          <t> C4568 </t>
        </is>
      </c>
      <c r="C138" s="17" t="inlineStr">
        <is>
          <t>SEINFRA</t>
        </is>
      </c>
      <c r="D138" s="17" t="inlineStr">
        <is>
          <t>ORGANIZADOR DE CABOS HORIZONTAL, ABERTO, PADRÃO RACK 19"</t>
        </is>
      </c>
      <c r="E138" s="18" t="inlineStr">
        <is>
          <t>UN</t>
        </is>
      </c>
      <c r="F138" s="19" t="n">
        <v>2.0</v>
      </c>
      <c r="G138" s="20" t="n">
        <v>40.17</v>
      </c>
      <c r="H138" s="20" t="str">
        <f>TRUNC(G138 * (1 + 25.51 / 100), 2)</f>
      </c>
      <c r="I138" s="20" t="str">
        <f>TRUNC(F138 * h138, 2)</f>
      </c>
      <c r="J138" s="21" t="str">
        <f>i138 / 220048.84</f>
      </c>
    </row>
    <row customHeight="1" ht="26" r="139">
      <c r="A139" s="17" t="inlineStr">
        <is>
          <t> 13.4 </t>
        </is>
      </c>
      <c r="B139" s="19" t="inlineStr">
        <is>
          <t> 98302 </t>
        </is>
      </c>
      <c r="C139" s="17" t="inlineStr">
        <is>
          <t>SINAPI</t>
        </is>
      </c>
      <c r="D139" s="17" t="inlineStr">
        <is>
          <t>PATCH PANEL 24 PORTAS, CATEGORIA 6 - FORNECIMENTO E INSTALAÇÃO. AF_11/2019</t>
        </is>
      </c>
      <c r="E139" s="18" t="inlineStr">
        <is>
          <t>UN</t>
        </is>
      </c>
      <c r="F139" s="19" t="n">
        <v>2.0</v>
      </c>
      <c r="G139" s="20" t="n">
        <v>1092.62</v>
      </c>
      <c r="H139" s="20" t="str">
        <f>TRUNC(G139 * (1 + 25.51 / 100), 2)</f>
      </c>
      <c r="I139" s="20" t="str">
        <f>TRUNC(F139 * h139, 2)</f>
      </c>
      <c r="J139" s="21" t="str">
        <f>i139 / 220048.84</f>
      </c>
    </row>
    <row customHeight="1" ht="26" r="140">
      <c r="A140" s="17" t="inlineStr">
        <is>
          <t> 13.5 </t>
        </is>
      </c>
      <c r="B140" s="19" t="inlineStr">
        <is>
          <t> 11417 </t>
        </is>
      </c>
      <c r="C140" s="17" t="inlineStr">
        <is>
          <t>ORSE</t>
        </is>
      </c>
      <c r="D140" s="17" t="inlineStr">
        <is>
          <t>Bandeja para rack 19", deslizante, perfurada, 400mm de profundidade</t>
        </is>
      </c>
      <c r="E140" s="18" t="inlineStr">
        <is>
          <t>UN</t>
        </is>
      </c>
      <c r="F140" s="19" t="n">
        <v>1.0</v>
      </c>
      <c r="G140" s="20" t="n">
        <v>341.59</v>
      </c>
      <c r="H140" s="20" t="str">
        <f>TRUNC(G140 * (1 + 25.51 / 100), 2)</f>
      </c>
      <c r="I140" s="20" t="str">
        <f>TRUNC(F140 * h140, 2)</f>
      </c>
      <c r="J140" s="21" t="str">
        <f>i140 / 220048.84</f>
      </c>
    </row>
    <row customHeight="1" ht="26" r="141">
      <c r="A141" s="17" t="inlineStr">
        <is>
          <t> 13.6 </t>
        </is>
      </c>
      <c r="B141" s="19" t="inlineStr">
        <is>
          <t> TRE 083 </t>
        </is>
      </c>
      <c r="C141" s="17" t="inlineStr">
        <is>
          <t>Próprio</t>
        </is>
      </c>
      <c r="D141" s="17" t="inlineStr">
        <is>
          <t>KIT 4 VENTILADORES BIVOLT P/ RACK19" INDOOR COM INTERRUPTOR PARA ACIONAMENTO</t>
        </is>
      </c>
      <c r="E141" s="18" t="inlineStr">
        <is>
          <t>UND</t>
        </is>
      </c>
      <c r="F141" s="19" t="n">
        <v>1.0</v>
      </c>
      <c r="G141" s="20" t="n">
        <v>514.25</v>
      </c>
      <c r="H141" s="20" t="str">
        <f>TRUNC(G141 * (1 + 25.51 / 100), 2)</f>
      </c>
      <c r="I141" s="20" t="str">
        <f>TRUNC(F141 * h141, 2)</f>
      </c>
      <c r="J141" s="21" t="str">
        <f>i141 / 220048.84</f>
      </c>
    </row>
    <row customHeight="1" ht="26" r="142">
      <c r="A142" s="17" t="inlineStr">
        <is>
          <t> 13.7 </t>
        </is>
      </c>
      <c r="B142" s="19" t="inlineStr">
        <is>
          <t> C4569 </t>
        </is>
      </c>
      <c r="C142" s="17" t="inlineStr">
        <is>
          <t>SEINFRA</t>
        </is>
      </c>
      <c r="D142" s="17" t="inlineStr">
        <is>
          <t>RÉGUA DE TOMADAS ELÉTRICAS, COM 08 TOMADAS, PADRÃO RACK 19"</t>
        </is>
      </c>
      <c r="E142" s="18" t="inlineStr">
        <is>
          <t>UN</t>
        </is>
      </c>
      <c r="F142" s="19" t="n">
        <v>1.0</v>
      </c>
      <c r="G142" s="20" t="n">
        <v>123.75</v>
      </c>
      <c r="H142" s="20" t="str">
        <f>TRUNC(G142 * (1 + 25.51 / 100), 2)</f>
      </c>
      <c r="I142" s="20" t="str">
        <f>TRUNC(F142 * h142, 2)</f>
      </c>
      <c r="J142" s="21" t="str">
        <f>i142 / 220048.84</f>
      </c>
    </row>
    <row customHeight="1" ht="26" r="143">
      <c r="A143" s="17" t="inlineStr">
        <is>
          <t> 13.8 </t>
        </is>
      </c>
      <c r="B143" s="19" t="inlineStr">
        <is>
          <t> 11230 </t>
        </is>
      </c>
      <c r="C143" s="17" t="inlineStr">
        <is>
          <t>ORSE</t>
        </is>
      </c>
      <c r="D143" s="17" t="inlineStr">
        <is>
          <t>Fornecimento e instalação de patch cords cat.6 c/1,50m - Rev 01</t>
        </is>
      </c>
      <c r="E143" s="18" t="inlineStr">
        <is>
          <t>un</t>
        </is>
      </c>
      <c r="F143" s="19" t="n">
        <v>33.0</v>
      </c>
      <c r="G143" s="20" t="n">
        <v>29.61</v>
      </c>
      <c r="H143" s="20" t="str">
        <f>TRUNC(G143 * (1 + 25.51 / 100), 2)</f>
      </c>
      <c r="I143" s="20" t="str">
        <f>TRUNC(F143 * h143, 2)</f>
      </c>
      <c r="J143" s="21" t="str">
        <f>i143 / 220048.84</f>
      </c>
    </row>
    <row customHeight="1" ht="24" r="144">
      <c r="A144" s="17" t="inlineStr">
        <is>
          <t> 13.9 </t>
        </is>
      </c>
      <c r="B144" s="19" t="inlineStr">
        <is>
          <t> C1203 </t>
        </is>
      </c>
      <c r="C144" s="17" t="inlineStr">
        <is>
          <t>SEINFRA</t>
        </is>
      </c>
      <c r="D144" s="17" t="inlineStr">
        <is>
          <t>ELETRODUTO CONDULETE DE PVC DE 1", COR CINZA</t>
        </is>
      </c>
      <c r="E144" s="18" t="inlineStr">
        <is>
          <t>M</t>
        </is>
      </c>
      <c r="F144" s="19" t="n">
        <v>9.0</v>
      </c>
      <c r="G144" s="20" t="n">
        <v>38.68</v>
      </c>
      <c r="H144" s="20" t="str">
        <f>TRUNC(G144 * (1 + 25.51 / 100), 2)</f>
      </c>
      <c r="I144" s="20" t="str">
        <f>TRUNC(F144 * h144, 2)</f>
      </c>
      <c r="J144" s="21" t="str">
        <f>i144 / 220048.84</f>
      </c>
    </row>
    <row customHeight="1" ht="39" r="145">
      <c r="A145" s="17" t="inlineStr">
        <is>
          <t> 13.10 </t>
        </is>
      </c>
      <c r="B145" s="19" t="inlineStr">
        <is>
          <t> 11303 </t>
        </is>
      </c>
      <c r="C145" s="17" t="inlineStr">
        <is>
          <t>ORSE</t>
        </is>
      </c>
      <c r="D145" s="17" t="inlineStr">
        <is>
          <t>Conector reto de aluminio para eletroduto de 1", para adaptar entrada de eletroduto metalico flexivel em quadros - fornecimento e instalação</t>
        </is>
      </c>
      <c r="E145" s="18" t="inlineStr">
        <is>
          <t>un</t>
        </is>
      </c>
      <c r="F145" s="19" t="n">
        <v>5.0</v>
      </c>
      <c r="G145" s="20" t="n">
        <v>6.92</v>
      </c>
      <c r="H145" s="20" t="str">
        <f>TRUNC(G145 * (1 + 25.51 / 100), 2)</f>
      </c>
      <c r="I145" s="20" t="str">
        <f>TRUNC(F145 * h145, 2)</f>
      </c>
      <c r="J145" s="21" t="str">
        <f>i145 / 220048.84</f>
      </c>
    </row>
    <row customHeight="1" ht="26" r="146">
      <c r="A146" s="17" t="inlineStr">
        <is>
          <t> 13.11 </t>
        </is>
      </c>
      <c r="B146" s="19" t="inlineStr">
        <is>
          <t> 724 </t>
        </is>
      </c>
      <c r="C146" s="17" t="inlineStr">
        <is>
          <t>ORSE</t>
        </is>
      </c>
      <c r="D146" s="17" t="inlineStr">
        <is>
          <t>Fornecimento e instalação de saída horizontal para eletroduto 1" (ref. vl 33 valemam ou similar)</t>
        </is>
      </c>
      <c r="E146" s="18" t="inlineStr">
        <is>
          <t>un</t>
        </is>
      </c>
      <c r="F146" s="19" t="n">
        <v>5.0</v>
      </c>
      <c r="G146" s="20" t="n">
        <v>9.3</v>
      </c>
      <c r="H146" s="20" t="str">
        <f>TRUNC(G146 * (1 + 25.51 / 100), 2)</f>
      </c>
      <c r="I146" s="20" t="str">
        <f>TRUNC(F146 * h146, 2)</f>
      </c>
      <c r="J146" s="21" t="str">
        <f>i146 / 220048.84</f>
      </c>
    </row>
    <row customHeight="1" ht="26" r="147">
      <c r="A147" s="17" t="inlineStr">
        <is>
          <t> 13.12 </t>
        </is>
      </c>
      <c r="B147" s="19" t="inlineStr">
        <is>
          <t> 344 </t>
        </is>
      </c>
      <c r="C147" s="17" t="inlineStr">
        <is>
          <t>ORSE</t>
        </is>
      </c>
      <c r="D147" s="17" t="inlineStr">
        <is>
          <t>Bucha com arruela em liga especial zamak p/eletroduto 25mm, d=1"</t>
        </is>
      </c>
      <c r="E147" s="18" t="inlineStr">
        <is>
          <t>un</t>
        </is>
      </c>
      <c r="F147" s="19" t="n">
        <v>10.0</v>
      </c>
      <c r="G147" s="20" t="n">
        <v>1.62</v>
      </c>
      <c r="H147" s="20" t="str">
        <f>TRUNC(G147 * (1 + 25.51 / 100), 2)</f>
      </c>
      <c r="I147" s="20" t="str">
        <f>TRUNC(F147 * h147, 2)</f>
      </c>
      <c r="J147" s="21" t="str">
        <f>i147 / 220048.84</f>
      </c>
    </row>
    <row customHeight="1" ht="26" r="148">
      <c r="A148" s="17" t="inlineStr">
        <is>
          <t> 13.13 </t>
        </is>
      </c>
      <c r="B148" s="19" t="inlineStr">
        <is>
          <t> 9669 </t>
        </is>
      </c>
      <c r="C148" s="17" t="inlineStr">
        <is>
          <t>ORSE</t>
        </is>
      </c>
      <c r="D148" s="17" t="inlineStr">
        <is>
          <t>Perfilado, pré-zincado  a fogo, perfurado 38 x 38 x 6000mm</t>
        </is>
      </c>
      <c r="E148" s="18" t="inlineStr">
        <is>
          <t>un</t>
        </is>
      </c>
      <c r="F148" s="19" t="n">
        <v>4.5</v>
      </c>
      <c r="G148" s="20" t="n">
        <v>84.54</v>
      </c>
      <c r="H148" s="20" t="str">
        <f>TRUNC(G148 * (1 + 25.51 / 100), 2)</f>
      </c>
      <c r="I148" s="20" t="str">
        <f>TRUNC(F148 * h148, 2)</f>
      </c>
      <c r="J148" s="21" t="str">
        <f>i148 / 220048.84</f>
      </c>
    </row>
    <row customHeight="1" ht="24" r="149">
      <c r="A149" s="17" t="inlineStr">
        <is>
          <t> 13.14 </t>
        </is>
      </c>
      <c r="B149" s="19" t="inlineStr">
        <is>
          <t> 9988 </t>
        </is>
      </c>
      <c r="C149" s="17" t="inlineStr">
        <is>
          <t>ORSE</t>
        </is>
      </c>
      <c r="D149" s="17" t="inlineStr">
        <is>
          <t>Terminal 38 x 38 mm para eletrocalha metalica</t>
        </is>
      </c>
      <c r="E149" s="18" t="inlineStr">
        <is>
          <t>un</t>
        </is>
      </c>
      <c r="F149" s="19" t="n">
        <v>2.0</v>
      </c>
      <c r="G149" s="20" t="n">
        <v>5.51</v>
      </c>
      <c r="H149" s="20" t="str">
        <f>TRUNC(G149 * (1 + 25.51 / 100), 2)</f>
      </c>
      <c r="I149" s="20" t="str">
        <f>TRUNC(F149 * h149, 2)</f>
      </c>
      <c r="J149" s="21" t="str">
        <f>i149 / 220048.84</f>
      </c>
    </row>
    <row customHeight="1" ht="24" r="150">
      <c r="A150" s="17" t="inlineStr">
        <is>
          <t> 13.15 </t>
        </is>
      </c>
      <c r="B150" s="19" t="inlineStr">
        <is>
          <t> 12578 </t>
        </is>
      </c>
      <c r="C150" s="17" t="inlineStr">
        <is>
          <t>ORSE</t>
        </is>
      </c>
      <c r="D150" s="17" t="inlineStr">
        <is>
          <t>Saída para perfilado 38x38mm (mopa ou similar)</t>
        </is>
      </c>
      <c r="E150" s="18" t="inlineStr">
        <is>
          <t>un</t>
        </is>
      </c>
      <c r="F150" s="19" t="n">
        <v>3.0</v>
      </c>
      <c r="G150" s="20" t="n">
        <v>15.53</v>
      </c>
      <c r="H150" s="20" t="str">
        <f>TRUNC(G150 * (1 + 25.51 / 100), 2)</f>
      </c>
      <c r="I150" s="20" t="str">
        <f>TRUNC(F150 * h150, 2)</f>
      </c>
      <c r="J150" s="21" t="str">
        <f>i150 / 220048.84</f>
      </c>
    </row>
    <row customHeight="1" ht="26" r="151">
      <c r="A151" s="17" t="inlineStr">
        <is>
          <t> 13.16 </t>
        </is>
      </c>
      <c r="B151" s="19" t="inlineStr">
        <is>
          <t> 11405 </t>
        </is>
      </c>
      <c r="C151" s="17" t="inlineStr">
        <is>
          <t>ORSE</t>
        </is>
      </c>
      <c r="D151" s="17" t="inlineStr">
        <is>
          <t>Junção interna tipo "I" para perfilado, ( ref.: Mopa ou similar)</t>
        </is>
      </c>
      <c r="E151" s="18" t="inlineStr">
        <is>
          <t>un</t>
        </is>
      </c>
      <c r="F151" s="19" t="n">
        <v>5.0</v>
      </c>
      <c r="G151" s="20" t="n">
        <v>11.33</v>
      </c>
      <c r="H151" s="20" t="str">
        <f>TRUNC(G151 * (1 + 25.51 / 100), 2)</f>
      </c>
      <c r="I151" s="20" t="str">
        <f>TRUNC(F151 * h151, 2)</f>
      </c>
      <c r="J151" s="21" t="str">
        <f>i151 / 220048.84</f>
      </c>
    </row>
    <row customHeight="1" ht="26" r="152">
      <c r="A152" s="17" t="inlineStr">
        <is>
          <t> 13.17 </t>
        </is>
      </c>
      <c r="B152" s="19" t="inlineStr">
        <is>
          <t> 765 </t>
        </is>
      </c>
      <c r="C152" s="17" t="inlineStr">
        <is>
          <t>ORSE</t>
        </is>
      </c>
      <c r="D152" s="17" t="inlineStr">
        <is>
          <t>Fornecimento e instalação de eletrocalha metálica  50 x  50 x 3000 mm (ref. valemam ou similar)</t>
        </is>
      </c>
      <c r="E152" s="18" t="inlineStr">
        <is>
          <t>und</t>
        </is>
      </c>
      <c r="F152" s="19" t="n">
        <v>3.0</v>
      </c>
      <c r="G152" s="20" t="n">
        <v>39.43</v>
      </c>
      <c r="H152" s="20" t="str">
        <f>TRUNC(G152 * (1 + 25.51 / 100), 2)</f>
      </c>
      <c r="I152" s="20" t="str">
        <f>TRUNC(F152 * h152, 2)</f>
      </c>
      <c r="J152" s="21" t="str">
        <f>i152 / 220048.84</f>
      </c>
    </row>
    <row customHeight="1" ht="39" r="153">
      <c r="A153" s="17" t="inlineStr">
        <is>
          <t> 13.18 </t>
        </is>
      </c>
      <c r="B153" s="19" t="inlineStr">
        <is>
          <t> 752 </t>
        </is>
      </c>
      <c r="C153" s="17" t="inlineStr">
        <is>
          <t>ORSE</t>
        </is>
      </c>
      <c r="D153" s="17" t="inlineStr">
        <is>
          <t>Fornecimento e instalação de emenda interna com base lisa 50 x 50 mm (ref. vl3.01-21-50/50 ge valemam ou similar)</t>
        </is>
      </c>
      <c r="E153" s="18" t="inlineStr">
        <is>
          <t>un</t>
        </is>
      </c>
      <c r="F153" s="19" t="n">
        <v>3.0</v>
      </c>
      <c r="G153" s="20" t="n">
        <v>6.1</v>
      </c>
      <c r="H153" s="20" t="str">
        <f>TRUNC(G153 * (1 + 25.51 / 100), 2)</f>
      </c>
      <c r="I153" s="20" t="str">
        <f>TRUNC(F153 * h153, 2)</f>
      </c>
      <c r="J153" s="21" t="str">
        <f>i153 / 220048.84</f>
      </c>
    </row>
    <row customHeight="1" ht="26" r="154">
      <c r="A154" s="17" t="inlineStr">
        <is>
          <t> 13.19 </t>
        </is>
      </c>
      <c r="B154" s="19" t="inlineStr">
        <is>
          <t> 7880 </t>
        </is>
      </c>
      <c r="C154" s="17" t="inlineStr">
        <is>
          <t>ORSE</t>
        </is>
      </c>
      <c r="D154" s="17" t="inlineStr">
        <is>
          <t>Curva de inversão 50 x 50 mm para eletrocalha metálica (ref.: mopa ou similar)</t>
        </is>
      </c>
      <c r="E154" s="18" t="inlineStr">
        <is>
          <t>un</t>
        </is>
      </c>
      <c r="F154" s="19" t="n">
        <v>2.0</v>
      </c>
      <c r="G154" s="20" t="n">
        <v>21.93</v>
      </c>
      <c r="H154" s="20" t="str">
        <f>TRUNC(G154 * (1 + 25.51 / 100), 2)</f>
      </c>
      <c r="I154" s="20" t="str">
        <f>TRUNC(F154 * h154, 2)</f>
      </c>
      <c r="J154" s="21" t="str">
        <f>i154 / 220048.84</f>
      </c>
    </row>
    <row customHeight="1" ht="26" r="155">
      <c r="A155" s="17" t="inlineStr">
        <is>
          <t> 13.20 </t>
        </is>
      </c>
      <c r="B155" s="19" t="inlineStr">
        <is>
          <t> 726 </t>
        </is>
      </c>
      <c r="C155" s="17" t="inlineStr">
        <is>
          <t>ORSE</t>
        </is>
      </c>
      <c r="D155" s="17" t="inlineStr">
        <is>
          <t>Terminal 50 x 50 mm para eletrocalha metalica (ref. vl 3.01-25 ge valemam ou similar)</t>
        </is>
      </c>
      <c r="E155" s="18" t="inlineStr">
        <is>
          <t>un</t>
        </is>
      </c>
      <c r="F155" s="19" t="n">
        <v>3.0</v>
      </c>
      <c r="G155" s="20" t="n">
        <v>5.51</v>
      </c>
      <c r="H155" s="20" t="str">
        <f>TRUNC(G155 * (1 + 25.51 / 100), 2)</f>
      </c>
      <c r="I155" s="20" t="str">
        <f>TRUNC(F155 * h155, 2)</f>
      </c>
      <c r="J155" s="21" t="str">
        <f>i155 / 220048.84</f>
      </c>
    </row>
    <row customHeight="1" ht="26" r="156">
      <c r="A156" s="17" t="inlineStr">
        <is>
          <t> 13.21 </t>
        </is>
      </c>
      <c r="B156" s="19" t="inlineStr">
        <is>
          <t> 4223 </t>
        </is>
      </c>
      <c r="C156" s="17" t="inlineStr">
        <is>
          <t>ORSE</t>
        </is>
      </c>
      <c r="D156" s="17" t="inlineStr">
        <is>
          <t>Tubo metálico flexível d=1", Sealtubo ou similar, fornecimento</t>
        </is>
      </c>
      <c r="E156" s="18" t="inlineStr">
        <is>
          <t>m</t>
        </is>
      </c>
      <c r="F156" s="19" t="n">
        <v>2.0</v>
      </c>
      <c r="G156" s="20" t="n">
        <v>10.99</v>
      </c>
      <c r="H156" s="20" t="str">
        <f>TRUNC(G156 * (1 + 25.51 / 100), 2)</f>
      </c>
      <c r="I156" s="20" t="str">
        <f>TRUNC(F156 * h156, 2)</f>
      </c>
      <c r="J156" s="21" t="str">
        <f>i156 / 220048.84</f>
      </c>
    </row>
    <row customHeight="1" ht="26" r="157">
      <c r="A157" s="17" t="inlineStr">
        <is>
          <t> 13.22 </t>
        </is>
      </c>
      <c r="B157" s="19" t="inlineStr">
        <is>
          <t> 11521 </t>
        </is>
      </c>
      <c r="C157" s="17" t="inlineStr">
        <is>
          <t>ORSE</t>
        </is>
      </c>
      <c r="D157" s="17" t="inlineStr">
        <is>
          <t>Fornecimento e instalação de mão francesa simples 50 mm</t>
        </is>
      </c>
      <c r="E157" s="18" t="inlineStr">
        <is>
          <t>un</t>
        </is>
      </c>
      <c r="F157" s="19" t="n">
        <v>20.0</v>
      </c>
      <c r="G157" s="20" t="n">
        <v>12.5</v>
      </c>
      <c r="H157" s="20" t="str">
        <f>TRUNC(G157 * (1 + 25.51 / 100), 2)</f>
      </c>
      <c r="I157" s="20" t="str">
        <f>TRUNC(F157 * h157, 2)</f>
      </c>
      <c r="J157" s="21" t="str">
        <f>i157 / 220048.84</f>
      </c>
    </row>
    <row customHeight="1" ht="26" r="158">
      <c r="A158" s="17" t="inlineStr">
        <is>
          <t> 13.23 </t>
        </is>
      </c>
      <c r="B158" s="19" t="inlineStr">
        <is>
          <t> C5190 </t>
        </is>
      </c>
      <c r="C158" s="17" t="inlineStr">
        <is>
          <t>SEINFRA</t>
        </is>
      </c>
      <c r="D158" s="17" t="inlineStr">
        <is>
          <t>TOMADA PARA LÓGICA, COM 1 CONECTOR RJ45, 8 FIOS, CAT-6, COMPLETA PARA CAIXA 4"x2" (NÃO INCLUSA)</t>
        </is>
      </c>
      <c r="E158" s="18" t="inlineStr">
        <is>
          <t>UN</t>
        </is>
      </c>
      <c r="F158" s="19" t="n">
        <v>3.0</v>
      </c>
      <c r="G158" s="20" t="n">
        <v>40.27</v>
      </c>
      <c r="H158" s="20" t="str">
        <f>TRUNC(G158 * (1 + 25.51 / 100), 2)</f>
      </c>
      <c r="I158" s="20" t="str">
        <f>TRUNC(F158 * h158, 2)</f>
      </c>
      <c r="J158" s="21" t="str">
        <f>i158 / 220048.84</f>
      </c>
    </row>
    <row customHeight="1" ht="26" r="159">
      <c r="A159" s="17" t="inlineStr">
        <is>
          <t> 13.24 </t>
        </is>
      </c>
      <c r="B159" s="19" t="inlineStr">
        <is>
          <t> C5191 </t>
        </is>
      </c>
      <c r="C159" s="17" t="inlineStr">
        <is>
          <t>SEINFRA</t>
        </is>
      </c>
      <c r="D159" s="17" t="inlineStr">
        <is>
          <t>TOMADA PARA LÓGICA, COM 2 CONECTORES RJ45, 8 FIOS, CAT-6, COMPLETA PARA CAIXA 4"x2" (NÃO INCLUSA)</t>
        </is>
      </c>
      <c r="E159" s="18" t="inlineStr">
        <is>
          <t>UN</t>
        </is>
      </c>
      <c r="F159" s="19" t="n">
        <v>15.0</v>
      </c>
      <c r="G159" s="20" t="n">
        <v>90.62</v>
      </c>
      <c r="H159" s="20" t="str">
        <f>TRUNC(G159 * (1 + 25.51 / 100), 2)</f>
      </c>
      <c r="I159" s="20" t="str">
        <f>TRUNC(F159 * h159, 2)</f>
      </c>
      <c r="J159" s="21" t="str">
        <f>i159 / 220048.84</f>
      </c>
    </row>
    <row customHeight="1" ht="26" r="160">
      <c r="A160" s="17" t="inlineStr">
        <is>
          <t> 13.25 </t>
        </is>
      </c>
      <c r="B160" s="19" t="inlineStr">
        <is>
          <t> 11242 </t>
        </is>
      </c>
      <c r="C160" s="17" t="inlineStr">
        <is>
          <t>ORSE</t>
        </is>
      </c>
      <c r="D160" s="17" t="inlineStr">
        <is>
          <t>Fornecimento e instalação de conector rj 45 macho cat 6</t>
        </is>
      </c>
      <c r="E160" s="18" t="inlineStr">
        <is>
          <t>un</t>
        </is>
      </c>
      <c r="F160" s="19" t="n">
        <v>33.0</v>
      </c>
      <c r="G160" s="20" t="n">
        <v>7.03</v>
      </c>
      <c r="H160" s="20" t="str">
        <f>TRUNC(G160 * (1 + 25.51 / 100), 2)</f>
      </c>
      <c r="I160" s="20" t="str">
        <f>TRUNC(F160 * h160, 2)</f>
      </c>
      <c r="J160" s="21" t="str">
        <f>i160 / 220048.84</f>
      </c>
    </row>
    <row customHeight="1" ht="39" r="161">
      <c r="A161" s="17" t="inlineStr">
        <is>
          <t> 13.26 </t>
        </is>
      </c>
      <c r="B161" s="19" t="inlineStr">
        <is>
          <t> 104397 </t>
        </is>
      </c>
      <c r="C161" s="17" t="inlineStr">
        <is>
          <t>SINAPI</t>
        </is>
      </c>
      <c r="D161" s="17" t="inlineStr">
        <is>
          <t>CONDULETE DE PVC, TIPO E, PARA ELETRODUTO DE PVC SOLDÁVEL DN 32 MM (1</t>
        </is>
      </c>
      <c r="E161" s="18" t="inlineStr">
        <is>
          <t>UN</t>
        </is>
      </c>
      <c r="F161" s="19" t="n">
        <v>3.0</v>
      </c>
      <c r="G161" s="20" t="n">
        <v>25.51</v>
      </c>
      <c r="H161" s="20" t="str">
        <f>TRUNC(G161 * (1 + 25.51 / 100), 2)</f>
      </c>
      <c r="I161" s="20" t="str">
        <f>TRUNC(F161 * h161, 2)</f>
      </c>
      <c r="J161" s="21" t="str">
        <f>i161 / 220048.84</f>
      </c>
    </row>
    <row customHeight="1" ht="39" r="162">
      <c r="A162" s="17" t="inlineStr">
        <is>
          <t> 13.27 </t>
        </is>
      </c>
      <c r="B162" s="19" t="inlineStr">
        <is>
          <t> 95812 </t>
        </is>
      </c>
      <c r="C162" s="17" t="inlineStr">
        <is>
          <t>SINAPI</t>
        </is>
      </c>
      <c r="D162" s="17" t="inlineStr">
        <is>
          <t>CONDULETE DE PVC, TIPO L, PARA ELETRODUTO DE PVC SOLDÁVEL DN 32 MM (1</t>
        </is>
      </c>
      <c r="E162" s="18" t="inlineStr">
        <is>
          <t>UN</t>
        </is>
      </c>
      <c r="F162" s="19" t="n">
        <v>7.0</v>
      </c>
      <c r="G162" s="20" t="n">
        <v>26.41</v>
      </c>
      <c r="H162" s="20" t="str">
        <f>TRUNC(G162 * (1 + 25.51 / 100), 2)</f>
      </c>
      <c r="I162" s="20" t="str">
        <f>TRUNC(F162 * h162, 2)</f>
      </c>
      <c r="J162" s="21" t="str">
        <f>i162 / 220048.84</f>
      </c>
    </row>
    <row customHeight="1" ht="39" r="163">
      <c r="A163" s="17" t="inlineStr">
        <is>
          <t> 13.28 </t>
        </is>
      </c>
      <c r="B163" s="19" t="inlineStr">
        <is>
          <t> 104405 </t>
        </is>
      </c>
      <c r="C163" s="17" t="inlineStr">
        <is>
          <t>SINAPI</t>
        </is>
      </c>
      <c r="D163" s="17" t="inlineStr">
        <is>
          <t>CONDULETE DE PVC, TIPO T, PARA ELETRODUTO DE PVC SOLDÁVEL DN 32 MM (1''), APARENTE - FORNECIMENTO E INSTALAÇÃO. AF_10/2022</t>
        </is>
      </c>
      <c r="E163" s="18" t="inlineStr">
        <is>
          <t>UN</t>
        </is>
      </c>
      <c r="F163" s="19" t="n">
        <v>1.0</v>
      </c>
      <c r="G163" s="20" t="n">
        <v>43.46</v>
      </c>
      <c r="H163" s="20" t="str">
        <f>TRUNC(G163 * (1 + 25.51 / 100), 2)</f>
      </c>
      <c r="I163" s="20" t="str">
        <f>TRUNC(F163 * h163, 2)</f>
      </c>
      <c r="J163" s="21" t="str">
        <f>i163 / 220048.84</f>
      </c>
    </row>
    <row customHeight="1" ht="39" r="164">
      <c r="A164" s="17" t="inlineStr">
        <is>
          <t> 13.29 </t>
        </is>
      </c>
      <c r="B164" s="19" t="inlineStr">
        <is>
          <t> 98297 </t>
        </is>
      </c>
      <c r="C164" s="17" t="inlineStr">
        <is>
          <t>SINAPI</t>
        </is>
      </c>
      <c r="D164" s="17" t="inlineStr">
        <is>
          <t>CABO ELETRÔNICO CATEGORIA 6, ISOLAMENTO PVC (LSZH), INSTALADO EM EDIFICAÇÃO INSTITUCIONAL - FORNECIMENTO E INSTALAÇÃO. AF_11/2019</t>
        </is>
      </c>
      <c r="E164" s="18" t="inlineStr">
        <is>
          <t>M</t>
        </is>
      </c>
      <c r="F164" s="19" t="n">
        <v>700.0</v>
      </c>
      <c r="G164" s="20" t="n">
        <v>11.2</v>
      </c>
      <c r="H164" s="20" t="str">
        <f>TRUNC(G164 * (1 + 25.51 / 100), 2)</f>
      </c>
      <c r="I164" s="20" t="str">
        <f>TRUNC(F164 * h164, 2)</f>
      </c>
      <c r="J164" s="21" t="str">
        <f>i164 / 220048.84</f>
      </c>
    </row>
    <row customHeight="1" ht="26" r="165">
      <c r="A165" s="17" t="inlineStr">
        <is>
          <t> 13.30 </t>
        </is>
      </c>
      <c r="B165" s="19" t="inlineStr">
        <is>
          <t> 698 </t>
        </is>
      </c>
      <c r="C165" s="17" t="inlineStr">
        <is>
          <t>ORSE</t>
        </is>
      </c>
      <c r="D165" s="17" t="inlineStr">
        <is>
          <t>Fornecimento e colocação de anilha para identificação</t>
        </is>
      </c>
      <c r="E165" s="18" t="inlineStr">
        <is>
          <t>un</t>
        </is>
      </c>
      <c r="F165" s="19" t="n">
        <v>200.0</v>
      </c>
      <c r="G165" s="20" t="n">
        <v>0.8</v>
      </c>
      <c r="H165" s="20" t="str">
        <f>TRUNC(G165 * (1 + 25.51 / 100), 2)</f>
      </c>
      <c r="I165" s="20" t="str">
        <f>TRUNC(F165 * h165, 2)</f>
      </c>
      <c r="J165" s="21" t="str">
        <f>i165 / 220048.84</f>
      </c>
    </row>
    <row customHeight="1" ht="24" r="166">
      <c r="A166" s="17" t="inlineStr">
        <is>
          <t> 13.31 </t>
        </is>
      </c>
      <c r="B166" s="19" t="inlineStr">
        <is>
          <t> 3332 </t>
        </is>
      </c>
      <c r="C166" s="17" t="inlineStr">
        <is>
          <t>ORSE</t>
        </is>
      </c>
      <c r="D166" s="17" t="inlineStr">
        <is>
          <t>Fornecimento de porca olhal em aço carbono 16 mm</t>
        </is>
      </c>
      <c r="E166" s="18" t="inlineStr">
        <is>
          <t>un</t>
        </is>
      </c>
      <c r="F166" s="19" t="n">
        <v>1.0</v>
      </c>
      <c r="G166" s="20" t="n">
        <v>11.65</v>
      </c>
      <c r="H166" s="20" t="str">
        <f>TRUNC(G166 * (1 + 25.51 / 100), 2)</f>
      </c>
      <c r="I166" s="20" t="str">
        <f>TRUNC(F166 * h166, 2)</f>
      </c>
      <c r="J166" s="21" t="str">
        <f>i166 / 220048.84</f>
      </c>
    </row>
    <row customHeight="1" ht="26" r="167">
      <c r="A167" s="17" t="inlineStr">
        <is>
          <t> 13.32 </t>
        </is>
      </c>
      <c r="B167" s="19" t="inlineStr">
        <is>
          <t> 10909 </t>
        </is>
      </c>
      <c r="C167" s="17" t="inlineStr">
        <is>
          <t>ORSE</t>
        </is>
      </c>
      <c r="D167" s="17" t="inlineStr">
        <is>
          <t>Fornecimento e instalação de tampa cega p/condulete caixa 4" x 2"</t>
        </is>
      </c>
      <c r="E167" s="18" t="inlineStr">
        <is>
          <t>un</t>
        </is>
      </c>
      <c r="F167" s="19" t="n">
        <v>11.0</v>
      </c>
      <c r="G167" s="20" t="n">
        <v>5.52</v>
      </c>
      <c r="H167" s="20" t="str">
        <f>TRUNC(G167 * (1 + 25.51 / 100), 2)</f>
      </c>
      <c r="I167" s="20" t="str">
        <f>TRUNC(F167 * h167, 2)</f>
      </c>
      <c r="J167" s="21" t="str">
        <f>i167 / 220048.84</f>
      </c>
    </row>
    <row customHeight="1" ht="26" r="168">
      <c r="A168" s="17" t="inlineStr">
        <is>
          <t> 13.33 </t>
        </is>
      </c>
      <c r="B168" s="19" t="inlineStr">
        <is>
          <t> 9533 </t>
        </is>
      </c>
      <c r="C168" s="17" t="inlineStr">
        <is>
          <t>ORSE</t>
        </is>
      </c>
      <c r="D168" s="17" t="inlineStr">
        <is>
          <t>Flange de ligação 100x50mm para eletrocalha metálica (ref. Mopa ou similar)</t>
        </is>
      </c>
      <c r="E168" s="18" t="inlineStr">
        <is>
          <t>un</t>
        </is>
      </c>
      <c r="F168" s="19" t="n">
        <v>1.0</v>
      </c>
      <c r="G168" s="20" t="n">
        <v>9.93</v>
      </c>
      <c r="H168" s="20" t="str">
        <f>TRUNC(G168 * (1 + 25.51 / 100), 2)</f>
      </c>
      <c r="I168" s="20" t="str">
        <f>TRUNC(F168 * h168, 2)</f>
      </c>
      <c r="J168" s="21" t="str">
        <f>i168 / 220048.84</f>
      </c>
    </row>
    <row customHeight="1" ht="24" r="169">
      <c r="A169" s="9" t="inlineStr">
        <is>
          <t> 14 </t>
        </is>
      </c>
      <c r="B169" s="9"/>
      <c r="C169" s="9"/>
      <c r="D169" s="9" t="inlineStr">
        <is>
          <t>INSTALAÇÕES HIDROSSANITÁRIAS</t>
        </is>
      </c>
      <c r="E169" s="9"/>
      <c r="F169" s="11"/>
      <c r="G169" s="9"/>
      <c r="H169" s="9"/>
      <c r="I169" s="12" t="n">
        <v>1830.42</v>
      </c>
      <c r="J169" s="13" t="str">
        <f>i169 / 220048.84</f>
      </c>
    </row>
    <row customHeight="1" ht="24" r="170">
      <c r="A170" s="9" t="inlineStr">
        <is>
          <t> 14.1 </t>
        </is>
      </c>
      <c r="B170" s="9"/>
      <c r="C170" s="9"/>
      <c r="D170" s="9" t="inlineStr">
        <is>
          <t>INSTALAÇÕES HIDRÁULICAS</t>
        </is>
      </c>
      <c r="E170" s="9"/>
      <c r="F170" s="11"/>
      <c r="G170" s="9"/>
      <c r="H170" s="9"/>
      <c r="I170" s="12" t="n">
        <v>1316.1</v>
      </c>
      <c r="J170" s="13" t="str">
        <f>i170 / 220048.84</f>
      </c>
    </row>
    <row customHeight="1" ht="39" r="171">
      <c r="A171" s="17" t="inlineStr">
        <is>
          <t> 14.1.1 </t>
        </is>
      </c>
      <c r="B171" s="19" t="inlineStr">
        <is>
          <t> 89356 </t>
        </is>
      </c>
      <c r="C171" s="17" t="inlineStr">
        <is>
          <t>SINAPI</t>
        </is>
      </c>
      <c r="D171" s="17" t="inlineStr">
        <is>
          <t>TUBO, PVC, SOLDÁVEL, DE 25MM, INSTALADO EM RAMAL OU SUB-RAMAL DE ÁGUA - FORNECIMENTO E INSTALAÇÃO. AF_06/2022</t>
        </is>
      </c>
      <c r="E171" s="18" t="inlineStr">
        <is>
          <t>M</t>
        </is>
      </c>
      <c r="F171" s="19" t="n">
        <v>4.5</v>
      </c>
      <c r="G171" s="20" t="n">
        <v>21.63</v>
      </c>
      <c r="H171" s="20" t="str">
        <f>TRUNC(G171 * (1 + 25.51 / 100), 2)</f>
      </c>
      <c r="I171" s="20" t="str">
        <f>TRUNC(F171 * h171, 2)</f>
      </c>
      <c r="J171" s="21" t="str">
        <f>i171 / 220048.84</f>
      </c>
    </row>
    <row customHeight="1" ht="39" r="172">
      <c r="A172" s="17" t="inlineStr">
        <is>
          <t> 14.1.2 </t>
        </is>
      </c>
      <c r="B172" s="19" t="inlineStr">
        <is>
          <t> 104779 </t>
        </is>
      </c>
      <c r="C172" s="17" t="inlineStr">
        <is>
          <t>SINAPI</t>
        </is>
      </c>
      <c r="D172" s="17" t="inlineStr">
        <is>
          <t>RASGO LINEAR MECANIZADO EM ALVENARIA, PARA RAMAIS/ DISTRIBUIÇÃO DE INSTALAÇÕES HIDRÁULICAS, DIÂMETROS MENORES OU IGUAIS A 40 MM. AF_09/2023</t>
        </is>
      </c>
      <c r="E172" s="18" t="inlineStr">
        <is>
          <t>M</t>
        </is>
      </c>
      <c r="F172" s="19" t="n">
        <v>18.0</v>
      </c>
      <c r="G172" s="20" t="n">
        <v>6.04</v>
      </c>
      <c r="H172" s="20" t="str">
        <f>TRUNC(G172 * (1 + 25.51 / 100), 2)</f>
      </c>
      <c r="I172" s="20" t="str">
        <f>TRUNC(F172 * h172, 2)</f>
      </c>
      <c r="J172" s="21" t="str">
        <f>i172 / 220048.84</f>
      </c>
    </row>
    <row customHeight="1" ht="39" r="173">
      <c r="A173" s="17" t="inlineStr">
        <is>
          <t> 14.1.3 </t>
        </is>
      </c>
      <c r="B173" s="19" t="inlineStr">
        <is>
          <t> 94649 </t>
        </is>
      </c>
      <c r="C173" s="17" t="inlineStr">
        <is>
          <t>SINAPI</t>
        </is>
      </c>
      <c r="D173" s="17" t="inlineStr">
        <is>
          <t>TUBO, PVC, SOLDÁVEL, DE 32MM, INSTALADO EM RESERVAÇÃO PREDIAL DE ÁGUA - FORNECIMENTO E INSTALAÇÃO. AF_04/2024</t>
        </is>
      </c>
      <c r="E173" s="18" t="inlineStr">
        <is>
          <t>M</t>
        </is>
      </c>
      <c r="F173" s="19" t="n">
        <v>13.5</v>
      </c>
      <c r="G173" s="20" t="n">
        <v>11.38</v>
      </c>
      <c r="H173" s="20" t="str">
        <f>TRUNC(G173 * (1 + 25.51 / 100), 2)</f>
      </c>
      <c r="I173" s="20" t="str">
        <f>TRUNC(F173 * h173, 2)</f>
      </c>
      <c r="J173" s="21" t="str">
        <f>i173 / 220048.84</f>
      </c>
    </row>
    <row customHeight="1" ht="39" r="174">
      <c r="A174" s="17" t="inlineStr">
        <is>
          <t> 14.1.4 </t>
        </is>
      </c>
      <c r="B174" s="19" t="inlineStr">
        <is>
          <t> 90466 </t>
        </is>
      </c>
      <c r="C174" s="17" t="inlineStr">
        <is>
          <t>SINAPI</t>
        </is>
      </c>
      <c r="D174" s="17" t="inlineStr">
        <is>
          <t>CHUMBAMENTO LINEAR EM ALVENARIA PARA RAMAIS/DISTRIBUIÇÃO DE INSTALAÇÕES HIDRÁULICAS COM DIÂMETROS MENORES OU IGUAIS A 40 MM. AF_09/2023</t>
        </is>
      </c>
      <c r="E174" s="18" t="inlineStr">
        <is>
          <t>M</t>
        </is>
      </c>
      <c r="F174" s="19" t="n">
        <v>18.0</v>
      </c>
      <c r="G174" s="20" t="n">
        <v>14.76</v>
      </c>
      <c r="H174" s="20" t="str">
        <f>TRUNC(G174 * (1 + 25.51 / 100), 2)</f>
      </c>
      <c r="I174" s="20" t="str">
        <f>TRUNC(F174 * h174, 2)</f>
      </c>
      <c r="J174" s="21" t="str">
        <f>i174 / 220048.84</f>
      </c>
    </row>
    <row customHeight="1" ht="39" r="175">
      <c r="A175" s="17" t="inlineStr">
        <is>
          <t> 14.1.5 </t>
        </is>
      </c>
      <c r="B175" s="19" t="inlineStr">
        <is>
          <t> 89362 </t>
        </is>
      </c>
      <c r="C175" s="17" t="inlineStr">
        <is>
          <t>SINAPI</t>
        </is>
      </c>
      <c r="D175" s="17" t="inlineStr">
        <is>
          <t>JOELHO 90 GRAUS, PVC, SOLDÁVEL, DN 25MM, INSTALADO EM RAMAL OU SUB-RAMAL DE ÁGUA - FORNECIMENTO E INSTALAÇÃO. AF_06/2022</t>
        </is>
      </c>
      <c r="E175" s="18" t="inlineStr">
        <is>
          <t>UN</t>
        </is>
      </c>
      <c r="F175" s="19" t="n">
        <v>1.0</v>
      </c>
      <c r="G175" s="20" t="n">
        <v>8.79</v>
      </c>
      <c r="H175" s="20" t="str">
        <f>TRUNC(G175 * (1 + 25.51 / 100), 2)</f>
      </c>
      <c r="I175" s="20" t="str">
        <f>TRUNC(F175 * h175, 2)</f>
      </c>
      <c r="J175" s="21" t="str">
        <f>i175 / 220048.84</f>
      </c>
    </row>
    <row customHeight="1" ht="39" r="176">
      <c r="A176" s="17" t="inlineStr">
        <is>
          <t> 14.1.5 </t>
        </is>
      </c>
      <c r="B176" s="19" t="inlineStr">
        <is>
          <t> 89413 </t>
        </is>
      </c>
      <c r="C176" s="17" t="inlineStr">
        <is>
          <t>SINAPI</t>
        </is>
      </c>
      <c r="D176" s="17" t="inlineStr">
        <is>
          <t>JOELHO 90 GRAUS, PVC, SOLDÁVEL, DN 32MM, INSTALADO EM RAMAL DE DISTRIBUIÇÃO DE ÁGUA - FORNECIMENTO E INSTALAÇÃO. AF_06/2022</t>
        </is>
      </c>
      <c r="E176" s="18" t="inlineStr">
        <is>
          <t>UN</t>
        </is>
      </c>
      <c r="F176" s="19" t="n">
        <v>1.0</v>
      </c>
      <c r="G176" s="20" t="n">
        <v>11.19</v>
      </c>
      <c r="H176" s="20" t="str">
        <f>TRUNC(G176 * (1 + 25.51 / 100), 2)</f>
      </c>
      <c r="I176" s="20" t="str">
        <f>TRUNC(F176 * h176, 2)</f>
      </c>
      <c r="J176" s="21" t="str">
        <f>i176 / 220048.84</f>
      </c>
    </row>
    <row customHeight="1" ht="39" r="177">
      <c r="A177" s="17" t="inlineStr">
        <is>
          <t> 14.1.6 </t>
        </is>
      </c>
      <c r="B177" s="19" t="inlineStr">
        <is>
          <t> 90373 </t>
        </is>
      </c>
      <c r="C177" s="17" t="inlineStr">
        <is>
          <t>SINAPI</t>
        </is>
      </c>
      <c r="D177" s="17" t="inlineStr">
        <is>
          <t>JOELHO 90 GRAUS COM BUCHA DE LATÃO, PVC, SOLDÁVEL, DN 25MM, X 1/2  INSTALADO EM RAMAL OU SUB-RAMAL DE ÁGUA - FORNECIMENTO E INSTALAÇÃO. AF_06/2022</t>
        </is>
      </c>
      <c r="E177" s="18" t="inlineStr">
        <is>
          <t>UN</t>
        </is>
      </c>
      <c r="F177" s="19" t="n">
        <v>1.0</v>
      </c>
      <c r="G177" s="20" t="n">
        <v>11.91</v>
      </c>
      <c r="H177" s="20" t="str">
        <f>TRUNC(G177 * (1 + 25.51 / 100), 2)</f>
      </c>
      <c r="I177" s="20" t="str">
        <f>TRUNC(F177 * h177, 2)</f>
      </c>
      <c r="J177" s="21" t="str">
        <f>i177 / 220048.84</f>
      </c>
    </row>
    <row customHeight="1" ht="65" r="178">
      <c r="A178" s="17" t="inlineStr">
        <is>
          <t> 14.1.7 </t>
        </is>
      </c>
      <c r="B178" s="19" t="inlineStr">
        <is>
          <t> 91179 </t>
        </is>
      </c>
      <c r="C178" s="17" t="inlineStr">
        <is>
          <t>SINAPI</t>
        </is>
      </c>
      <c r="D178" s="17" t="inlineStr">
        <is>
          <t>FIXAÇÃO DE TUBOS HORIZONTAIS DE PVC ÁGUA/PVC ESGOTO/PVC PLUVIAL/CPVC/PPR/COBRE OU AÇO, DIÂMETROS MENORES OU IGUAIS A 40 MM, COM ABRAÇADEIRA METÁLICA RÍGIDA TIPO  D  COM PARAFUSO DE FIXAÇÃO 1 1/4", FIXADA DIRETAMENTE NA LAJE OU PAREDE. AF_09/2023</t>
        </is>
      </c>
      <c r="E178" s="18" t="inlineStr">
        <is>
          <t>M</t>
        </is>
      </c>
      <c r="F178" s="19" t="n">
        <v>13.5</v>
      </c>
      <c r="G178" s="20" t="n">
        <v>18.39</v>
      </c>
      <c r="H178" s="20" t="str">
        <f>TRUNC(G178 * (1 + 25.51 / 100), 2)</f>
      </c>
      <c r="I178" s="20" t="str">
        <f>TRUNC(F178 * h178, 2)</f>
      </c>
      <c r="J178" s="21" t="str">
        <f>i178 / 220048.84</f>
      </c>
    </row>
    <row customHeight="1" ht="52" r="179">
      <c r="A179" s="17" t="inlineStr">
        <is>
          <t> 14.1.8 </t>
        </is>
      </c>
      <c r="B179" s="19" t="inlineStr">
        <is>
          <t> 89396 </t>
        </is>
      </c>
      <c r="C179" s="17" t="inlineStr">
        <is>
          <t>SINAPI</t>
        </is>
      </c>
      <c r="D179" s="17" t="inlineStr">
        <is>
          <t>TÊ COM BUCHA DE LATÃO NA BOLSA CENTRAL, PVC, SOLDÁVEL, DN 25MM X 1/2 , INSTALADO EM RAMAL OU SUB-RAMAL DE ÁGUA - FORNECIMENTO E INSTALAÇÃO. AF_06/2022</t>
        </is>
      </c>
      <c r="E179" s="18" t="inlineStr">
        <is>
          <t>UN</t>
        </is>
      </c>
      <c r="F179" s="19" t="n">
        <v>1.0</v>
      </c>
      <c r="G179" s="20" t="n">
        <v>18.67</v>
      </c>
      <c r="H179" s="20" t="str">
        <f>TRUNC(G179 * (1 + 25.51 / 100), 2)</f>
      </c>
      <c r="I179" s="20" t="str">
        <f>TRUNC(F179 * h179, 2)</f>
      </c>
      <c r="J179" s="21" t="str">
        <f>i179 / 220048.84</f>
      </c>
    </row>
    <row customHeight="1" ht="39" r="180">
      <c r="A180" s="17" t="inlineStr">
        <is>
          <t> 14.1.9 </t>
        </is>
      </c>
      <c r="B180" s="19" t="inlineStr">
        <is>
          <t> 89440 </t>
        </is>
      </c>
      <c r="C180" s="17" t="inlineStr">
        <is>
          <t>SINAPI</t>
        </is>
      </c>
      <c r="D180" s="17" t="inlineStr">
        <is>
          <t>TE, PVC, SOLDÁVEL, DN 25MM, INSTALADO EM RAMAL DE DISTRIBUIÇÃO DE ÁGUA - FORNECIMENTO E INSTALAÇÃO. AF_06/2022</t>
        </is>
      </c>
      <c r="E180" s="18" t="inlineStr">
        <is>
          <t>UN</t>
        </is>
      </c>
      <c r="F180" s="19" t="n">
        <v>1.0</v>
      </c>
      <c r="G180" s="20" t="n">
        <v>11.14</v>
      </c>
      <c r="H180" s="20" t="str">
        <f>TRUNC(G180 * (1 + 25.51 / 100), 2)</f>
      </c>
      <c r="I180" s="20" t="str">
        <f>TRUNC(F180 * h180, 2)</f>
      </c>
      <c r="J180" s="21" t="str">
        <f>i180 / 220048.84</f>
      </c>
    </row>
    <row customHeight="1" ht="39" r="181">
      <c r="A181" s="17" t="inlineStr">
        <is>
          <t> 14.1.10 </t>
        </is>
      </c>
      <c r="B181" s="19" t="inlineStr">
        <is>
          <t> 104004 </t>
        </is>
      </c>
      <c r="C181" s="17" t="inlineStr">
        <is>
          <t>SINAPI</t>
        </is>
      </c>
      <c r="D181" s="17" t="inlineStr">
        <is>
          <t>TE, PVC, SOLDÁVEL, DN 50MM, INSTALADO EM RAMAL DE DISTRIBUIÇÃO DE ÁGUA - FORNECIMENTO E INSTALAÇÃO. AF_06/2022</t>
        </is>
      </c>
      <c r="E181" s="18" t="inlineStr">
        <is>
          <t>UN</t>
        </is>
      </c>
      <c r="F181" s="19" t="n">
        <v>1.0</v>
      </c>
      <c r="G181" s="20" t="n">
        <v>27.21</v>
      </c>
      <c r="H181" s="20" t="str">
        <f>TRUNC(G181 * (1 + 25.51 / 100), 2)</f>
      </c>
      <c r="I181" s="20" t="str">
        <f>TRUNC(F181 * h181, 2)</f>
      </c>
      <c r="J181" s="21" t="str">
        <f>i181 / 220048.84</f>
      </c>
    </row>
    <row customHeight="1" ht="52" r="182">
      <c r="A182" s="17" t="inlineStr">
        <is>
          <t> 14.1.11 </t>
        </is>
      </c>
      <c r="B182" s="19" t="inlineStr">
        <is>
          <t> 94658 </t>
        </is>
      </c>
      <c r="C182" s="17" t="inlineStr">
        <is>
          <t>SINAPI</t>
        </is>
      </c>
      <c r="D182" s="17" t="inlineStr">
        <is>
          <t>ADAPTADOR CURTO COM BOLSA E ROSCA PARA REGISTRO, PVC, SOLDÁVEL, DN 32 MM X 1", INSTALADO EM RESERVAÇÃO PREDIAL DE ÁGUA - FORNECIMENTO E INSTALAÇÃO. AF_04/2024</t>
        </is>
      </c>
      <c r="E182" s="18" t="inlineStr">
        <is>
          <t>UN</t>
        </is>
      </c>
      <c r="F182" s="19" t="n">
        <v>2.0</v>
      </c>
      <c r="G182" s="20" t="n">
        <v>4.77</v>
      </c>
      <c r="H182" s="20" t="str">
        <f>TRUNC(G182 * (1 + 25.51 / 100), 2)</f>
      </c>
      <c r="I182" s="20" t="str">
        <f>TRUNC(F182 * h182, 2)</f>
      </c>
      <c r="J182" s="21" t="str">
        <f>i182 / 220048.84</f>
      </c>
    </row>
    <row customHeight="1" ht="39" r="183">
      <c r="A183" s="17" t="inlineStr">
        <is>
          <t> 14.1.12 </t>
        </is>
      </c>
      <c r="B183" s="19" t="inlineStr">
        <is>
          <t> 103957 </t>
        </is>
      </c>
      <c r="C183" s="17" t="inlineStr">
        <is>
          <t>SINAPI</t>
        </is>
      </c>
      <c r="D183" s="17" t="inlineStr">
        <is>
          <t>BUCHA DE REDUÇÃO, CURTA, PVC, SOLDÁVEL, DN 32 X 25 MM, INSTALADO EM PRUMADA DE ÁGUA - FORNECIMENTO E INSTALAÇÃO. AF_06/2022</t>
        </is>
      </c>
      <c r="E183" s="18" t="inlineStr">
        <is>
          <t>UN</t>
        </is>
      </c>
      <c r="F183" s="19" t="n">
        <v>1.0</v>
      </c>
      <c r="G183" s="20" t="n">
        <v>4.56</v>
      </c>
      <c r="H183" s="20" t="str">
        <f>TRUNC(G183 * (1 + 25.51 / 100), 2)</f>
      </c>
      <c r="I183" s="20" t="str">
        <f>TRUNC(F183 * h183, 2)</f>
      </c>
      <c r="J183" s="21" t="str">
        <f>i183 / 220048.84</f>
      </c>
    </row>
    <row customHeight="1" ht="39" r="184">
      <c r="A184" s="17" t="inlineStr">
        <is>
          <t> 14.1.13 </t>
        </is>
      </c>
      <c r="B184" s="19" t="inlineStr">
        <is>
          <t> 104003 </t>
        </is>
      </c>
      <c r="C184" s="17" t="inlineStr">
        <is>
          <t>SINAPI</t>
        </is>
      </c>
      <c r="D184" s="17" t="inlineStr">
        <is>
          <t>BUCHA DE REDUÇÃO , LONGA, PVC, SOLDÁVEL, DN 50 X 32 MM, INSTALADO EM RAMAL DE DISTRIBUIÇÃO DE ÁGUA - FORNECIMENTO E INSTALAÇÃO. AF_06/2022</t>
        </is>
      </c>
      <c r="E184" s="18" t="inlineStr">
        <is>
          <t>UN</t>
        </is>
      </c>
      <c r="F184" s="19" t="n">
        <v>1.0</v>
      </c>
      <c r="G184" s="20" t="n">
        <v>13.42</v>
      </c>
      <c r="H184" s="20" t="str">
        <f>TRUNC(G184 * (1 + 25.51 / 100), 2)</f>
      </c>
      <c r="I184" s="20" t="str">
        <f>TRUNC(F184 * h184, 2)</f>
      </c>
      <c r="J184" s="21" t="str">
        <f>i184 / 220048.84</f>
      </c>
    </row>
    <row customHeight="1" ht="39" r="185">
      <c r="A185" s="17" t="inlineStr">
        <is>
          <t> 14.1.14 </t>
        </is>
      </c>
      <c r="B185" s="19" t="inlineStr">
        <is>
          <t> 89378 </t>
        </is>
      </c>
      <c r="C185" s="17" t="inlineStr">
        <is>
          <t>SINAPI</t>
        </is>
      </c>
      <c r="D185" s="17" t="inlineStr">
        <is>
          <t>LUVA, PVC, SOLDÁVEL, DN 25MM, INSTALADO EM RAMAL OU SUB-RAMAL DE ÁGUA - FORNECIMENTO E INSTALAÇÃO. AF_06/2022</t>
        </is>
      </c>
      <c r="E185" s="18" t="inlineStr">
        <is>
          <t>UN</t>
        </is>
      </c>
      <c r="F185" s="19" t="n">
        <v>2.0</v>
      </c>
      <c r="G185" s="20" t="n">
        <v>6.55</v>
      </c>
      <c r="H185" s="20" t="str">
        <f>TRUNC(G185 * (1 + 25.51 / 100), 2)</f>
      </c>
      <c r="I185" s="20" t="str">
        <f>TRUNC(F185 * h185, 2)</f>
      </c>
      <c r="J185" s="21" t="str">
        <f>i185 / 220048.84</f>
      </c>
    </row>
    <row customHeight="1" ht="39" r="186">
      <c r="A186" s="17" t="inlineStr">
        <is>
          <t> 14.1.15 </t>
        </is>
      </c>
      <c r="B186" s="19" t="inlineStr">
        <is>
          <t> 89386 </t>
        </is>
      </c>
      <c r="C186" s="17" t="inlineStr">
        <is>
          <t>SINAPI</t>
        </is>
      </c>
      <c r="D186" s="17" t="inlineStr">
        <is>
          <t>LUVA, PVC, SOLDÁVEL, DN 32MM, INSTALADO EM RAMAL OU SUB-RAMAL DE ÁGUA - FORNECIMENTO E INSTALAÇÃO. AF_06/2022</t>
        </is>
      </c>
      <c r="E186" s="18" t="inlineStr">
        <is>
          <t>UN</t>
        </is>
      </c>
      <c r="F186" s="19" t="n">
        <v>2.0</v>
      </c>
      <c r="G186" s="20" t="n">
        <v>8.92</v>
      </c>
      <c r="H186" s="20" t="str">
        <f>TRUNC(G186 * (1 + 25.51 / 100), 2)</f>
      </c>
      <c r="I186" s="20" t="str">
        <f>TRUNC(F186 * h186, 2)</f>
      </c>
      <c r="J186" s="21" t="str">
        <f>i186 / 220048.84</f>
      </c>
    </row>
    <row customHeight="1" ht="39" r="187">
      <c r="A187" s="17" t="inlineStr">
        <is>
          <t> 14.1.16 </t>
        </is>
      </c>
      <c r="B187" s="19" t="inlineStr">
        <is>
          <t> 103995 </t>
        </is>
      </c>
      <c r="C187" s="17" t="inlineStr">
        <is>
          <t>SINAPI</t>
        </is>
      </c>
      <c r="D187" s="17" t="inlineStr">
        <is>
          <t>LUVA, PVC, SOLDÁVEL, DN 50MM, INSTALADO EM RAMAL DE DISTRIBUIÇÃO DE ÁGUA - FORNECIMENTO E INSTALAÇÃO. AF_06/2022</t>
        </is>
      </c>
      <c r="E187" s="18" t="inlineStr">
        <is>
          <t>UN</t>
        </is>
      </c>
      <c r="F187" s="19" t="n">
        <v>2.0</v>
      </c>
      <c r="G187" s="20" t="n">
        <v>13.91</v>
      </c>
      <c r="H187" s="20" t="str">
        <f>TRUNC(G187 * (1 + 25.51 / 100), 2)</f>
      </c>
      <c r="I187" s="20" t="str">
        <f>TRUNC(F187 * h187, 2)</f>
      </c>
      <c r="J187" s="21" t="str">
        <f>i187 / 220048.84</f>
      </c>
    </row>
    <row customHeight="1" ht="24" r="188">
      <c r="A188" s="9" t="inlineStr">
        <is>
          <t> 14.2 </t>
        </is>
      </c>
      <c r="B188" s="9"/>
      <c r="C188" s="9"/>
      <c r="D188" s="9" t="inlineStr">
        <is>
          <t>INSTALAÇÕES SANITÁRIAS</t>
        </is>
      </c>
      <c r="E188" s="9"/>
      <c r="F188" s="11"/>
      <c r="G188" s="9"/>
      <c r="H188" s="9"/>
      <c r="I188" s="12" t="n">
        <v>514.32</v>
      </c>
      <c r="J188" s="13" t="str">
        <f>i188 / 220048.84</f>
      </c>
    </row>
    <row customHeight="1" ht="39" r="189">
      <c r="A189" s="17" t="inlineStr">
        <is>
          <t> 14.2.1 </t>
        </is>
      </c>
      <c r="B189" s="19" t="inlineStr">
        <is>
          <t> 89712 </t>
        </is>
      </c>
      <c r="C189" s="17" t="inlineStr">
        <is>
          <t>SINAPI</t>
        </is>
      </c>
      <c r="D189" s="17" t="inlineStr">
        <is>
          <t>TUBO PVC, SERIE NORMAL, ESGOTO PREDIAL, DN 50 MM, FORNECIDO E INSTALADO EM RAMAL DE DESCARGA OU RAMAL DE ESGOTO SANITÁRIO. AF_08/2022</t>
        </is>
      </c>
      <c r="E189" s="18" t="inlineStr">
        <is>
          <t>M</t>
        </is>
      </c>
      <c r="F189" s="19" t="n">
        <v>4.0</v>
      </c>
      <c r="G189" s="20" t="n">
        <v>23.07</v>
      </c>
      <c r="H189" s="20" t="str">
        <f>TRUNC(G189 * (1 + 25.51 / 100), 2)</f>
      </c>
      <c r="I189" s="20" t="str">
        <f>TRUNC(F189 * h189, 2)</f>
      </c>
      <c r="J189" s="21" t="str">
        <f>i189 / 220048.84</f>
      </c>
    </row>
    <row customHeight="1" ht="52" r="190">
      <c r="A190" s="17" t="inlineStr">
        <is>
          <t> 14.2.2 </t>
        </is>
      </c>
      <c r="B190" s="19" t="inlineStr">
        <is>
          <t> 89753 </t>
        </is>
      </c>
      <c r="C190" s="17" t="inlineStr">
        <is>
          <t>SINAPI</t>
        </is>
      </c>
      <c r="D190" s="17" t="inlineStr">
        <is>
          <t>LUVA SIMPLES, PVC, SERIE NORMAL, ESGOTO PREDIAL, DN 50 MM, JUNTA ELÁSTICA, FORNECIDO E INSTALADO EM RAMAL DE DESCARGA OU RAMAL DE ESGOTO SANITÁRIO. AF_08/2022</t>
        </is>
      </c>
      <c r="E190" s="18" t="inlineStr">
        <is>
          <t>UN</t>
        </is>
      </c>
      <c r="F190" s="19" t="n">
        <v>3.0</v>
      </c>
      <c r="G190" s="20" t="n">
        <v>8.08</v>
      </c>
      <c r="H190" s="20" t="str">
        <f>TRUNC(G190 * (1 + 25.51 / 100), 2)</f>
      </c>
      <c r="I190" s="20" t="str">
        <f>TRUNC(F190 * h190, 2)</f>
      </c>
      <c r="J190" s="21" t="str">
        <f>i190 / 220048.84</f>
      </c>
    </row>
    <row customHeight="1" ht="52" r="191">
      <c r="A191" s="17" t="inlineStr">
        <is>
          <t> 14.2.4 </t>
        </is>
      </c>
      <c r="B191" s="19" t="inlineStr">
        <is>
          <t> 90445 </t>
        </is>
      </c>
      <c r="C191" s="17" t="inlineStr">
        <is>
          <t>SINAPI</t>
        </is>
      </c>
      <c r="D191" s="17" t="inlineStr">
        <is>
          <t>RASGO LINEAR MECANIZADO EM CONTRAPISO, PARA RAMAIS/ DISTRIBUIÇÃO DE INSTALAÇÕES HIDRÁULICAS, DIÂMETROS MAIORES QUE 40 MM E MENORES OU IGUAIS A 75 MM. AF_09/2023_PS</t>
        </is>
      </c>
      <c r="E191" s="18" t="inlineStr">
        <is>
          <t>M</t>
        </is>
      </c>
      <c r="F191" s="19" t="n">
        <v>3.0</v>
      </c>
      <c r="G191" s="20" t="n">
        <v>18.06</v>
      </c>
      <c r="H191" s="20" t="str">
        <f>TRUNC(G191 * (1 + 25.51 / 100), 2)</f>
      </c>
      <c r="I191" s="20" t="str">
        <f>TRUNC(F191 * h191, 2)</f>
      </c>
      <c r="J191" s="21" t="str">
        <f>i191 / 220048.84</f>
      </c>
    </row>
    <row customHeight="1" ht="52" r="192">
      <c r="A192" s="17" t="inlineStr">
        <is>
          <t> 14.2.5 </t>
        </is>
      </c>
      <c r="B192" s="19" t="inlineStr">
        <is>
          <t> 90469 </t>
        </is>
      </c>
      <c r="C192" s="17" t="inlineStr">
        <is>
          <t>SINAPI</t>
        </is>
      </c>
      <c r="D192" s="17" t="inlineStr">
        <is>
          <t>CHUMBAMENTO LINEAR EM CONTRAPISO PARA RAMAIS/DISTRIBUIÇÃO DE INSTALAÇÕES HIDRÁULICAS COM DIÂMETROS MAIORES QUE 40 MM E MENORES OU IGUAIS A 75 MM. AF_09/2023</t>
        </is>
      </c>
      <c r="E192" s="18" t="inlineStr">
        <is>
          <t>M</t>
        </is>
      </c>
      <c r="F192" s="19" t="n">
        <v>3.0</v>
      </c>
      <c r="G192" s="20" t="n">
        <v>11.66</v>
      </c>
      <c r="H192" s="20" t="str">
        <f>TRUNC(G192 * (1 + 25.51 / 100), 2)</f>
      </c>
      <c r="I192" s="20" t="str">
        <f>TRUNC(F192 * h192, 2)</f>
      </c>
      <c r="J192" s="21" t="str">
        <f>i192 / 220048.84</f>
      </c>
    </row>
    <row customHeight="1" ht="52" r="193">
      <c r="A193" s="17" t="inlineStr">
        <is>
          <t> 14.2.6 </t>
        </is>
      </c>
      <c r="B193" s="19" t="inlineStr">
        <is>
          <t> 91222 </t>
        </is>
      </c>
      <c r="C193" s="17" t="inlineStr">
        <is>
          <t>SINAPI</t>
        </is>
      </c>
      <c r="D193" s="17" t="inlineStr">
        <is>
          <t>RASGO LINEAR MANUAL EM ALVENARIA, PARA RAMAIS/ DISTRIBUIÇÃO DE INSTALAÇÕES HIDRÁULICAS, DIÂMETROS MAIORES QUE 40 MM E MENORES OU IGUAIS A 75 MM. AF_09/2023</t>
        </is>
      </c>
      <c r="E193" s="18" t="inlineStr">
        <is>
          <t>M</t>
        </is>
      </c>
      <c r="F193" s="19" t="n">
        <v>1.0</v>
      </c>
      <c r="G193" s="20" t="n">
        <v>8.09</v>
      </c>
      <c r="H193" s="20" t="str">
        <f>TRUNC(G193 * (1 + 25.51 / 100), 2)</f>
      </c>
      <c r="I193" s="20" t="str">
        <f>TRUNC(F193 * h193, 2)</f>
      </c>
      <c r="J193" s="21" t="str">
        <f>i193 / 220048.84</f>
      </c>
    </row>
    <row customHeight="1" ht="52" r="194">
      <c r="A194" s="17" t="inlineStr">
        <is>
          <t> 14.2.7 </t>
        </is>
      </c>
      <c r="B194" s="19" t="inlineStr">
        <is>
          <t> 90467 </t>
        </is>
      </c>
      <c r="C194" s="17" t="inlineStr">
        <is>
          <t>SINAPI</t>
        </is>
      </c>
      <c r="D194" s="17" t="inlineStr">
        <is>
          <t>CHUMBAMENTO LINEAR EM ALVENARIA PARA RAMAIS/DISTRIBUIÇÃO DE INSTALAÇÕES HIDRÁULICAS COM DIÂMETROS MAIORES QUE 40 MM E MENORES OU IGUAIS A 75 MM. AF_09/2023</t>
        </is>
      </c>
      <c r="E194" s="18" t="inlineStr">
        <is>
          <t>M</t>
        </is>
      </c>
      <c r="F194" s="19" t="n">
        <v>1.0</v>
      </c>
      <c r="G194" s="20" t="n">
        <v>22.24</v>
      </c>
      <c r="H194" s="20" t="str">
        <f>TRUNC(G194 * (1 + 25.51 / 100), 2)</f>
      </c>
      <c r="I194" s="20" t="str">
        <f>TRUNC(F194 * h194, 2)</f>
      </c>
      <c r="J194" s="21" t="str">
        <f>i194 / 220048.84</f>
      </c>
    </row>
    <row customHeight="1" ht="52" r="195">
      <c r="A195" s="17" t="inlineStr">
        <is>
          <t> 14.2.8 </t>
        </is>
      </c>
      <c r="B195" s="19" t="inlineStr">
        <is>
          <t> 89731 </t>
        </is>
      </c>
      <c r="C195" s="17" t="inlineStr">
        <is>
          <t>SINAPI</t>
        </is>
      </c>
      <c r="D195" s="17" t="inlineStr">
        <is>
          <t>JOELHO 90 GRAUS, PVC, SERIE NORMAL, ESGOTO PREDIAL, DN 50 MM, JUNTA ELÁSTICA, FORNECIDO E INSTALADO EM RAMAL DE DESCARGA OU RAMAL DE ESGOTO SANITÁRIO. AF_08/2022</t>
        </is>
      </c>
      <c r="E195" s="18" t="inlineStr">
        <is>
          <t>UN</t>
        </is>
      </c>
      <c r="F195" s="19" t="n">
        <v>4.0</v>
      </c>
      <c r="G195" s="20" t="n">
        <v>14.26</v>
      </c>
      <c r="H195" s="20" t="str">
        <f>TRUNC(G195 * (1 + 25.51 / 100), 2)</f>
      </c>
      <c r="I195" s="20" t="str">
        <f>TRUNC(F195 * h195, 2)</f>
      </c>
      <c r="J195" s="21" t="str">
        <f>i195 / 220048.84</f>
      </c>
    </row>
    <row customHeight="1" ht="52" r="196">
      <c r="A196" s="17" t="inlineStr">
        <is>
          <t> 14.2.9 </t>
        </is>
      </c>
      <c r="B196" s="19" t="inlineStr">
        <is>
          <t> 89732 </t>
        </is>
      </c>
      <c r="C196" s="17" t="inlineStr">
        <is>
          <t>SINAPI</t>
        </is>
      </c>
      <c r="D196" s="17" t="inlineStr">
        <is>
          <t>JOELHO 45 GRAUS, PVC, SERIE NORMAL, ESGOTO PREDIAL, DN 50 MM, JUNTA ELÁSTICA, FORNECIDO E INSTALADO EM RAMAL DE DESCARGA OU RAMAL DE ESGOTO SANITÁRIO. AF_08/2022</t>
        </is>
      </c>
      <c r="E196" s="18" t="inlineStr">
        <is>
          <t>UN</t>
        </is>
      </c>
      <c r="F196" s="19" t="n">
        <v>1.0</v>
      </c>
      <c r="G196" s="20" t="n">
        <v>14.8</v>
      </c>
      <c r="H196" s="20" t="str">
        <f>TRUNC(G196 * (1 + 25.51 / 100), 2)</f>
      </c>
      <c r="I196" s="20" t="str">
        <f>TRUNC(F196 * h196, 2)</f>
      </c>
      <c r="J196" s="21" t="str">
        <f>i196 / 220048.84</f>
      </c>
    </row>
    <row customHeight="1" ht="26" r="197">
      <c r="A197" s="17" t="inlineStr">
        <is>
          <t> 14.2.10 </t>
        </is>
      </c>
      <c r="B197" s="19" t="inlineStr">
        <is>
          <t> 3674 </t>
        </is>
      </c>
      <c r="C197" s="17" t="inlineStr">
        <is>
          <t>ORSE</t>
        </is>
      </c>
      <c r="D197" s="17" t="inlineStr">
        <is>
          <t>Sifao para pia de cozinha em PVC, ASTRA SC12, 1 1/2" x 50 mm, acabamento cromado ou similar</t>
        </is>
      </c>
      <c r="E197" s="18" t="inlineStr">
        <is>
          <t>un</t>
        </is>
      </c>
      <c r="F197" s="19" t="n">
        <v>2.0</v>
      </c>
      <c r="G197" s="20" t="n">
        <v>51.01</v>
      </c>
      <c r="H197" s="20" t="str">
        <f>TRUNC(G197 * (1 + 25.51 / 100), 2)</f>
      </c>
      <c r="I197" s="20" t="str">
        <f>TRUNC(F197 * h197, 2)</f>
      </c>
      <c r="J197" s="21" t="str">
        <f>i197 / 220048.84</f>
      </c>
    </row>
    <row customHeight="1" ht="24" r="198">
      <c r="A198" s="9" t="inlineStr">
        <is>
          <t> 15 </t>
        </is>
      </c>
      <c r="B198" s="9"/>
      <c r="C198" s="9"/>
      <c r="D198" s="9" t="inlineStr">
        <is>
          <t>AR CONDICIONADO</t>
        </is>
      </c>
      <c r="E198" s="9"/>
      <c r="F198" s="11"/>
      <c r="G198" s="9"/>
      <c r="H198" s="9"/>
      <c r="I198" s="12" t="n">
        <v>8711.1</v>
      </c>
      <c r="J198" s="13" t="str">
        <f>i198 / 220048.84</f>
      </c>
    </row>
    <row customHeight="1" ht="24" r="199">
      <c r="A199" s="9" t="inlineStr">
        <is>
          <t> 15.1 </t>
        </is>
      </c>
      <c r="B199" s="9"/>
      <c r="C199" s="9"/>
      <c r="D199" s="9" t="inlineStr">
        <is>
          <t>REDE FRIGORIGENA</t>
        </is>
      </c>
      <c r="E199" s="9"/>
      <c r="F199" s="11"/>
      <c r="G199" s="9"/>
      <c r="H199" s="9"/>
      <c r="I199" s="12" t="n">
        <v>5635.46</v>
      </c>
      <c r="J199" s="13" t="str">
        <f>i199 / 220048.84</f>
      </c>
    </row>
    <row customHeight="1" ht="26" r="200">
      <c r="A200" s="17" t="inlineStr">
        <is>
          <t> 15.1.1 </t>
        </is>
      </c>
      <c r="B200" s="19" t="inlineStr">
        <is>
          <t> 103288 </t>
        </is>
      </c>
      <c r="C200" s="17" t="inlineStr">
        <is>
          <t>SINAPI</t>
        </is>
      </c>
      <c r="D200" s="17" t="inlineStr">
        <is>
          <t>RASGO E CHUMBAMENTO EM ALVENARIA PARA TUBOS DE SPLIT PAREDE DE 9000 A 36000 BTUS/H. AF_11/2021</t>
        </is>
      </c>
      <c r="E200" s="18" t="inlineStr">
        <is>
          <t>m</t>
        </is>
      </c>
      <c r="F200" s="19" t="n">
        <v>18.5</v>
      </c>
      <c r="G200" s="20" t="n">
        <v>14.32</v>
      </c>
      <c r="H200" s="20" t="str">
        <f>TRUNC(G200 * (1 + 25.51 / 100), 2)</f>
      </c>
      <c r="I200" s="20" t="str">
        <f>TRUNC(F200 * h200, 2)</f>
      </c>
      <c r="J200" s="21" t="str">
        <f>i200 / 220048.84</f>
      </c>
    </row>
    <row customHeight="1" ht="52" r="201">
      <c r="A201" s="17" t="inlineStr">
        <is>
          <t> 15.1.2 </t>
        </is>
      </c>
      <c r="B201" s="19" t="inlineStr">
        <is>
          <t> TRE03 </t>
        </is>
      </c>
      <c r="C201" s="17" t="inlineStr">
        <is>
          <t>Próprio</t>
        </is>
      </c>
      <c r="D201" s="17" t="inlineStr">
        <is>
          <t>REDE FRIGORÍGENA PARA INTERLIGAÇÃO DE CONDENSADORA / EVAPORADORA 12.000 BTU</t>
        </is>
      </c>
      <c r="E201" s="18" t="inlineStr">
        <is>
          <t>M</t>
        </is>
      </c>
      <c r="F201" s="19" t="n">
        <v>6.0</v>
      </c>
      <c r="G201" s="20" t="n">
        <v>91.7</v>
      </c>
      <c r="H201" s="20" t="str">
        <f>TRUNC(G201 * (1 + 25.51 / 100), 2)</f>
      </c>
      <c r="I201" s="20" t="str">
        <f>TRUNC(F201 * h201, 2)</f>
      </c>
      <c r="J201" s="21" t="str">
        <f>i201 / 220048.84</f>
      </c>
    </row>
    <row customHeight="1" ht="52" r="202">
      <c r="A202" s="17" t="inlineStr">
        <is>
          <t> 15.1.3 </t>
        </is>
      </c>
      <c r="B202" s="19" t="inlineStr">
        <is>
          <t> TRE04 </t>
        </is>
      </c>
      <c r="C202" s="17" t="inlineStr">
        <is>
          <t>Próprio</t>
        </is>
      </c>
      <c r="D202" s="17" t="inlineStr">
        <is>
          <t>REDE FRIGORÍGENA PARA INTERLIGAÇÃO DE CONDENSADORA / EVAPORADORA 18.000 BTU</t>
        </is>
      </c>
      <c r="E202" s="18" t="inlineStr">
        <is>
          <t>M</t>
        </is>
      </c>
      <c r="F202" s="19" t="n">
        <v>10.5</v>
      </c>
      <c r="G202" s="20" t="n">
        <v>91.7</v>
      </c>
      <c r="H202" s="20" t="str">
        <f>TRUNC(G202 * (1 + 25.51 / 100), 2)</f>
      </c>
      <c r="I202" s="20" t="str">
        <f>TRUNC(F202 * h202, 2)</f>
      </c>
      <c r="J202" s="21" t="str">
        <f>i202 / 220048.84</f>
      </c>
    </row>
    <row customHeight="1" ht="52" r="203">
      <c r="A203" s="17" t="inlineStr">
        <is>
          <t> 15.1.4 </t>
        </is>
      </c>
      <c r="B203" s="19" t="inlineStr">
        <is>
          <t> TRE07 </t>
        </is>
      </c>
      <c r="C203" s="17" t="inlineStr">
        <is>
          <t>Próprio</t>
        </is>
      </c>
      <c r="D203" s="17" t="inlineStr">
        <is>
          <t>REDE FRIGORÍGENA PARA INTERLIGAÇÃO DE CONDENSADORA / EVAPORADORA 36.000 BTU</t>
        </is>
      </c>
      <c r="E203" s="18" t="inlineStr">
        <is>
          <t>M</t>
        </is>
      </c>
      <c r="F203" s="19" t="n">
        <v>6.0</v>
      </c>
      <c r="G203" s="20" t="n">
        <v>452.03</v>
      </c>
      <c r="H203" s="20" t="str">
        <f>TRUNC(G203 * (1 + 25.51 / 100), 2)</f>
      </c>
      <c r="I203" s="20" t="str">
        <f>TRUNC(F203 * h203, 2)</f>
      </c>
      <c r="J203" s="21" t="str">
        <f>i203 / 220048.84</f>
      </c>
    </row>
    <row customHeight="1" ht="24" r="204">
      <c r="A204" s="9" t="inlineStr">
        <is>
          <t> 15.2 </t>
        </is>
      </c>
      <c r="B204" s="9"/>
      <c r="C204" s="9"/>
      <c r="D204" s="9" t="inlineStr">
        <is>
          <t>REDE DE DRENAGEM</t>
        </is>
      </c>
      <c r="E204" s="9"/>
      <c r="F204" s="11"/>
      <c r="G204" s="9"/>
      <c r="H204" s="9"/>
      <c r="I204" s="12" t="n">
        <v>3075.64</v>
      </c>
      <c r="J204" s="13" t="str">
        <f>i204 / 220048.84</f>
      </c>
    </row>
    <row customHeight="1" ht="39" r="205">
      <c r="A205" s="17" t="inlineStr">
        <is>
          <t> 15.2.1 </t>
        </is>
      </c>
      <c r="B205" s="19" t="inlineStr">
        <is>
          <t> 89866 </t>
        </is>
      </c>
      <c r="C205" s="17" t="inlineStr">
        <is>
          <t>SINAPI</t>
        </is>
      </c>
      <c r="D205" s="17" t="inlineStr">
        <is>
          <t>JOELHO 90 GRAUS, PVC, SOLDÁVEL, DN 25MM, INSTALADO EM DRENO DE AR-CONDICIONADO - FORNECIMENTO E INSTALAÇÃO. AF_08/2022</t>
        </is>
      </c>
      <c r="E205" s="18" t="inlineStr">
        <is>
          <t>UN</t>
        </is>
      </c>
      <c r="F205" s="19" t="n">
        <v>18.0</v>
      </c>
      <c r="G205" s="20" t="n">
        <v>6.82</v>
      </c>
      <c r="H205" s="20" t="str">
        <f>TRUNC(G205 * (1 + 25.51 / 100), 2)</f>
      </c>
      <c r="I205" s="20" t="str">
        <f>TRUNC(F205 * h205, 2)</f>
      </c>
      <c r="J205" s="21" t="str">
        <f>i205 / 220048.84</f>
      </c>
    </row>
    <row customHeight="1" ht="52" r="206">
      <c r="A206" s="17" t="inlineStr">
        <is>
          <t> 15.2.2 </t>
        </is>
      </c>
      <c r="B206" s="19" t="inlineStr">
        <is>
          <t> 89724 </t>
        </is>
      </c>
      <c r="C206" s="17" t="inlineStr">
        <is>
          <t>SINAPI</t>
        </is>
      </c>
      <c r="D206" s="17" t="inlineStr">
        <is>
          <t>JOELHO 90 GRAUS, PVC, SERIE NORMAL, ESGOTO PREDIAL, DN 40 MM, JUNTA SOLDÁVEL, FORNECIDO E INSTALADO EM RAMAL DE DESCARGA OU RAMAL DE ESGOTO SANITÁRIO. AF_08/2022</t>
        </is>
      </c>
      <c r="E206" s="18" t="inlineStr">
        <is>
          <t>UN</t>
        </is>
      </c>
      <c r="F206" s="19" t="n">
        <v>9.0</v>
      </c>
      <c r="G206" s="20" t="n">
        <v>9.2</v>
      </c>
      <c r="H206" s="20" t="str">
        <f>TRUNC(G206 * (1 + 25.51 / 100), 2)</f>
      </c>
      <c r="I206" s="20" t="str">
        <f>TRUNC(F206 * h206, 2)</f>
      </c>
      <c r="J206" s="21" t="str">
        <f>i206 / 220048.84</f>
      </c>
    </row>
    <row customHeight="1" ht="52" r="207">
      <c r="A207" s="17" t="inlineStr">
        <is>
          <t> 15.2.3 </t>
        </is>
      </c>
      <c r="B207" s="19" t="inlineStr">
        <is>
          <t> 89726 </t>
        </is>
      </c>
      <c r="C207" s="17" t="inlineStr">
        <is>
          <t>SINAPI</t>
        </is>
      </c>
      <c r="D207" s="17" t="inlineStr">
        <is>
          <t>JOELHO 45 GRAUS, PVC, SERIE NORMAL, ESGOTO PREDIAL, DN 40 MM, JUNTA SOLDÁVEL, FORNECIDO E INSTALADO EM RAMAL DE DESCARGA OU RAMAL DE ESGOTO SANITÁRIO. AF_08/2022</t>
        </is>
      </c>
      <c r="E207" s="18" t="inlineStr">
        <is>
          <t>UN</t>
        </is>
      </c>
      <c r="F207" s="19" t="n">
        <v>3.0</v>
      </c>
      <c r="G207" s="20" t="n">
        <v>9.37</v>
      </c>
      <c r="H207" s="20" t="str">
        <f>TRUNC(G207 * (1 + 25.51 / 100), 2)</f>
      </c>
      <c r="I207" s="20" t="str">
        <f>TRUNC(F207 * h207, 2)</f>
      </c>
      <c r="J207" s="21" t="str">
        <f>i207 / 220048.84</f>
      </c>
    </row>
    <row customHeight="1" ht="26" r="208">
      <c r="A208" s="17" t="inlineStr">
        <is>
          <t> 15.2.4 </t>
        </is>
      </c>
      <c r="B208" s="19" t="inlineStr">
        <is>
          <t> TRE 005 </t>
        </is>
      </c>
      <c r="C208" s="17" t="inlineStr">
        <is>
          <t>Próprio</t>
        </is>
      </c>
      <c r="D208" s="17" t="inlineStr">
        <is>
          <t>CAIXA DE PASSAGEM POLAR PARA SPLIT - FORNECIMENTO E INSTALAÇÃO</t>
        </is>
      </c>
      <c r="E208" s="18" t="inlineStr">
        <is>
          <t>UND</t>
        </is>
      </c>
      <c r="F208" s="19" t="n">
        <v>8.0</v>
      </c>
      <c r="G208" s="20" t="n">
        <v>69.65</v>
      </c>
      <c r="H208" s="20" t="str">
        <f>TRUNC(G208 * (1 + 25.51 / 100), 2)</f>
      </c>
      <c r="I208" s="20" t="str">
        <f>TRUNC(F208 * h208, 2)</f>
      </c>
      <c r="J208" s="21" t="str">
        <f>i208 / 220048.84</f>
      </c>
    </row>
    <row customHeight="1" ht="52" r="209">
      <c r="A209" s="17" t="inlineStr">
        <is>
          <t> 15.2.5 </t>
        </is>
      </c>
      <c r="B209" s="19" t="inlineStr">
        <is>
          <t> 89783 </t>
        </is>
      </c>
      <c r="C209" s="17" t="inlineStr">
        <is>
          <t>SINAPI</t>
        </is>
      </c>
      <c r="D209" s="17" t="inlineStr">
        <is>
          <t>JUNÇÃO SIMPLES, PVC, SERIE NORMAL, ESGOTO PREDIAL, DN 40 MM, JUNTA SOLDÁVEL, FORNECIDO E INSTALADO EM RAMAL DE DESCARGA OU RAMAL DE ESGOTO SANITÁRIO. AF_08/2022</t>
        </is>
      </c>
      <c r="E209" s="18" t="inlineStr">
        <is>
          <t>UN</t>
        </is>
      </c>
      <c r="F209" s="19" t="n">
        <v>2.0</v>
      </c>
      <c r="G209" s="20" t="n">
        <v>13.3</v>
      </c>
      <c r="H209" s="20" t="str">
        <f>TRUNC(G209 * (1 + 25.51 / 100), 2)</f>
      </c>
      <c r="I209" s="20" t="str">
        <f>TRUNC(F209 * h209, 2)</f>
      </c>
      <c r="J209" s="21" t="str">
        <f>i209 / 220048.84</f>
      </c>
    </row>
    <row customHeight="1" ht="39" r="210">
      <c r="A210" s="17" t="inlineStr">
        <is>
          <t> 15.2.6 </t>
        </is>
      </c>
      <c r="B210" s="19" t="inlineStr">
        <is>
          <t> 89865 </t>
        </is>
      </c>
      <c r="C210" s="17" t="inlineStr">
        <is>
          <t>SINAPI</t>
        </is>
      </c>
      <c r="D210" s="17" t="inlineStr">
        <is>
          <t>TUBO, PVC, SOLDÁVEL, DE 25MM, INSTALADO EM DRENO DE AR-CONDICIONADO - FORNECIMENTO E INSTALAÇÃO. AF_08/2022</t>
        </is>
      </c>
      <c r="E210" s="18" t="inlineStr">
        <is>
          <t>M</t>
        </is>
      </c>
      <c r="F210" s="19" t="n">
        <v>18.37</v>
      </c>
      <c r="G210" s="20" t="n">
        <v>15.74</v>
      </c>
      <c r="H210" s="20" t="str">
        <f>TRUNC(G210 * (1 + 25.51 / 100), 2)</f>
      </c>
      <c r="I210" s="20" t="str">
        <f>TRUNC(F210 * h210, 2)</f>
      </c>
      <c r="J210" s="21" t="str">
        <f>i210 / 220048.84</f>
      </c>
    </row>
    <row customHeight="1" ht="39" r="211">
      <c r="A211" s="17" t="inlineStr">
        <is>
          <t> 15.2.7 </t>
        </is>
      </c>
      <c r="B211" s="19" t="inlineStr">
        <is>
          <t> 89546 </t>
        </is>
      </c>
      <c r="C211" s="17" t="inlineStr">
        <is>
          <t>SINAPI</t>
        </is>
      </c>
      <c r="D211" s="17" t="inlineStr">
        <is>
          <t>BUCHA DE REDUÇÃO LONGA, PVC, SERIE R, ÁGUA PLUVIAL, DN 50 X 40 MM, JUNTA ELÁSTICA, FORNECIDO E INSTALADO EM RAMAL DE ENCAMINHAMENTO. AF_06/2022</t>
        </is>
      </c>
      <c r="E211" s="18" t="inlineStr">
        <is>
          <t>UN</t>
        </is>
      </c>
      <c r="F211" s="19" t="n">
        <v>2.0</v>
      </c>
      <c r="G211" s="20" t="n">
        <v>10.01</v>
      </c>
      <c r="H211" s="20" t="str">
        <f>TRUNC(G211 * (1 + 25.51 / 100), 2)</f>
      </c>
      <c r="I211" s="20" t="str">
        <f>TRUNC(F211 * h211, 2)</f>
      </c>
      <c r="J211" s="21" t="str">
        <f>i211 / 220048.84</f>
      </c>
    </row>
    <row customHeight="1" ht="39" r="212">
      <c r="A212" s="17" t="inlineStr">
        <is>
          <t> 15.2.8 </t>
        </is>
      </c>
      <c r="B212" s="19" t="inlineStr">
        <is>
          <t> 104779 </t>
        </is>
      </c>
      <c r="C212" s="17" t="inlineStr">
        <is>
          <t>SINAPI</t>
        </is>
      </c>
      <c r="D212" s="17" t="inlineStr">
        <is>
          <t>RASGO LINEAR MECANIZADO EM ALVENARIA, PARA RAMAIS/ DISTRIBUIÇÃO DE INSTALAÇÕES HIDRÁULICAS, DIÂMETROS MENORES OU IGUAIS A 40 MM. AF_09/2023</t>
        </is>
      </c>
      <c r="E212" s="18" t="inlineStr">
        <is>
          <t>M</t>
        </is>
      </c>
      <c r="F212" s="19" t="n">
        <v>31.57</v>
      </c>
      <c r="G212" s="20" t="n">
        <v>6.04</v>
      </c>
      <c r="H212" s="20" t="str">
        <f>TRUNC(G212 * (1 + 25.51 / 100), 2)</f>
      </c>
      <c r="I212" s="20" t="str">
        <f>TRUNC(F212 * h212, 2)</f>
      </c>
      <c r="J212" s="21" t="str">
        <f>i212 / 220048.84</f>
      </c>
    </row>
    <row customHeight="1" ht="39" r="213">
      <c r="A213" s="17" t="inlineStr">
        <is>
          <t> 15.2.9 </t>
        </is>
      </c>
      <c r="B213" s="19" t="inlineStr">
        <is>
          <t> 89711 </t>
        </is>
      </c>
      <c r="C213" s="17" t="inlineStr">
        <is>
          <t>SINAPI</t>
        </is>
      </c>
      <c r="D213" s="17" t="inlineStr">
        <is>
          <t>TUBO PVC, SERIE NORMAL, ESGOTO PREDIAL, DN 40 MM, FORNECIDO E INSTALADO EM RAMAL DE DESCARGA OU RAMAL DE ESGOTO SANITÁRIO. AF_08/2022</t>
        </is>
      </c>
      <c r="E213" s="18" t="inlineStr">
        <is>
          <t>M</t>
        </is>
      </c>
      <c r="F213" s="19" t="n">
        <v>8.8</v>
      </c>
      <c r="G213" s="20" t="n">
        <v>18.58</v>
      </c>
      <c r="H213" s="20" t="str">
        <f>TRUNC(G213 * (1 + 25.51 / 100), 2)</f>
      </c>
      <c r="I213" s="20" t="str">
        <f>TRUNC(F213 * h213, 2)</f>
      </c>
      <c r="J213" s="21" t="str">
        <f>i213 / 220048.84</f>
      </c>
    </row>
    <row customHeight="1" ht="39" r="214">
      <c r="A214" s="17" t="inlineStr">
        <is>
          <t> 15.2.10 </t>
        </is>
      </c>
      <c r="B214" s="19" t="inlineStr">
        <is>
          <t> 90444 </t>
        </is>
      </c>
      <c r="C214" s="17" t="inlineStr">
        <is>
          <t>SINAPI</t>
        </is>
      </c>
      <c r="D214" s="17" t="inlineStr">
        <is>
          <t>RASGO LINEAR MECANIZADO EM CONTRAPISO, PARA RAMAIS/ DISTRIBUIÇÃO DE INSTALAÇÕES HIDRÁULICAS, DIÂMETROS MENORES OU IGUAIS A 40 MM. AF_09/2023_PS</t>
        </is>
      </c>
      <c r="E214" s="18" t="inlineStr">
        <is>
          <t>M</t>
        </is>
      </c>
      <c r="F214" s="19" t="n">
        <v>23.1</v>
      </c>
      <c r="G214" s="20" t="n">
        <v>13.61</v>
      </c>
      <c r="H214" s="20" t="str">
        <f>TRUNC(G214 * (1 + 25.51 / 100), 2)</f>
      </c>
      <c r="I214" s="20" t="str">
        <f>TRUNC(F214 * h214, 2)</f>
      </c>
      <c r="J214" s="21" t="str">
        <f>i214 / 220048.84</f>
      </c>
    </row>
    <row customHeight="1" ht="39" r="215">
      <c r="A215" s="17" t="inlineStr">
        <is>
          <t> 15.2.11 </t>
        </is>
      </c>
      <c r="B215" s="19" t="inlineStr">
        <is>
          <t> 90466 </t>
        </is>
      </c>
      <c r="C215" s="17" t="inlineStr">
        <is>
          <t>SINAPI</t>
        </is>
      </c>
      <c r="D215" s="17" t="inlineStr">
        <is>
          <t>CHUMBAMENTO LINEAR EM ALVENARIA PARA RAMAIS/DISTRIBUIÇÃO DE INSTALAÇÕES HIDRÁULICAS COM DIÂMETROS MENORES OU IGUAIS A 40 MM. AF_09/2023</t>
        </is>
      </c>
      <c r="E215" s="18" t="inlineStr">
        <is>
          <t>M</t>
        </is>
      </c>
      <c r="F215" s="19" t="n">
        <v>31.57</v>
      </c>
      <c r="G215" s="20" t="n">
        <v>14.76</v>
      </c>
      <c r="H215" s="20" t="str">
        <f>TRUNC(G215 * (1 + 25.51 / 100), 2)</f>
      </c>
      <c r="I215" s="20" t="str">
        <f>TRUNC(F215 * h215, 2)</f>
      </c>
      <c r="J215" s="21" t="str">
        <f>i215 / 220048.84</f>
      </c>
    </row>
    <row customHeight="1" ht="39" r="216">
      <c r="A216" s="17" t="inlineStr">
        <is>
          <t> 15.2.12 </t>
        </is>
      </c>
      <c r="B216" s="19" t="inlineStr">
        <is>
          <t> 90468 </t>
        </is>
      </c>
      <c r="C216" s="17" t="inlineStr">
        <is>
          <t>SINAPI</t>
        </is>
      </c>
      <c r="D216" s="17" t="inlineStr">
        <is>
          <t>CHUMBAMENTO LINEAR EM CONTRAPISO PARA RAMAIS/DISTRIBUIÇÃO DE INSTALAÇÕES HIDRÁULICAS COM DIÂMETROS MENORES OU IGUAIS A 40 MM. AF_09/2023</t>
        </is>
      </c>
      <c r="E216" s="18" t="inlineStr">
        <is>
          <t>M</t>
        </is>
      </c>
      <c r="F216" s="19" t="n">
        <v>23.1</v>
      </c>
      <c r="G216" s="20" t="n">
        <v>7.67</v>
      </c>
      <c r="H216" s="20" t="str">
        <f>TRUNC(G216 * (1 + 25.51 / 100), 2)</f>
      </c>
      <c r="I216" s="20" t="str">
        <f>TRUNC(F216 * h216, 2)</f>
      </c>
      <c r="J216" s="21" t="str">
        <f>i216 / 220048.84</f>
      </c>
    </row>
    <row customHeight="1" ht="39" r="217">
      <c r="A217" s="17" t="inlineStr">
        <is>
          <t> 15.2.13 </t>
        </is>
      </c>
      <c r="B217" s="19" t="inlineStr">
        <is>
          <t> 104324 </t>
        </is>
      </c>
      <c r="C217" s="17" t="inlineStr">
        <is>
          <t>SINAPI</t>
        </is>
      </c>
      <c r="D217" s="17" t="inlineStr">
        <is>
          <t>TE, PVC, SOLDÁVEL, DN 32 MM, INSTALADO EM DRENO DE AR CONDICIONADO - FORNECIMENTO E INSTALAÇÃO. AF_08/2022</t>
        </is>
      </c>
      <c r="E217" s="18" t="inlineStr">
        <is>
          <t>UN</t>
        </is>
      </c>
      <c r="F217" s="19" t="n">
        <v>1.0</v>
      </c>
      <c r="G217" s="20" t="n">
        <v>12.89</v>
      </c>
      <c r="H217" s="20" t="str">
        <f>TRUNC(G217 * (1 + 25.51 / 100), 2)</f>
      </c>
      <c r="I217" s="20" t="str">
        <f>TRUNC(F217 * h217, 2)</f>
      </c>
      <c r="J217" s="21" t="str">
        <f>i217 / 220048.84</f>
      </c>
    </row>
    <row customHeight="1" ht="24" r="218">
      <c r="A218" s="9" t="inlineStr">
        <is>
          <t> 16 </t>
        </is>
      </c>
      <c r="B218" s="9"/>
      <c r="C218" s="9"/>
      <c r="D218" s="9" t="inlineStr">
        <is>
          <t>COMBATE A INCÊNDIO</t>
        </is>
      </c>
      <c r="E218" s="9"/>
      <c r="F218" s="11"/>
      <c r="G218" s="9"/>
      <c r="H218" s="9"/>
      <c r="I218" s="12" t="n">
        <v>810.27</v>
      </c>
      <c r="J218" s="13" t="str">
        <f>i218 / 220048.84</f>
      </c>
    </row>
    <row customHeight="1" ht="26" r="219">
      <c r="A219" s="17" t="inlineStr">
        <is>
          <t> 16.1 </t>
        </is>
      </c>
      <c r="B219" s="19" t="inlineStr">
        <is>
          <t> 12895 </t>
        </is>
      </c>
      <c r="C219" s="17" t="inlineStr">
        <is>
          <t>ORSE</t>
        </is>
      </c>
      <c r="D219" s="17" t="inlineStr">
        <is>
          <t>Placa de sinalizacao, fotoluminescente, em pvc , rota de fuga</t>
        </is>
      </c>
      <c r="E219" s="18" t="inlineStr">
        <is>
          <t>un</t>
        </is>
      </c>
      <c r="F219" s="19" t="n">
        <v>15.0</v>
      </c>
      <c r="G219" s="20" t="n">
        <v>13.92</v>
      </c>
      <c r="H219" s="20" t="str">
        <f>TRUNC(G219 * (1 + 25.51 / 100), 2)</f>
      </c>
      <c r="I219" s="20" t="str">
        <f>TRUNC(F219 * h219, 2)</f>
      </c>
      <c r="J219" s="21" t="str">
        <f>i219 / 220048.84</f>
      </c>
    </row>
    <row customHeight="1" ht="39" r="220">
      <c r="A220" s="17" t="inlineStr">
        <is>
          <t> 16.2 </t>
        </is>
      </c>
      <c r="B220" s="19" t="inlineStr">
        <is>
          <t> 12888 </t>
        </is>
      </c>
      <c r="C220" s="17" t="inlineStr">
        <is>
          <t>ORSE</t>
        </is>
      </c>
      <c r="D220" s="17" t="inlineStr">
        <is>
          <t>Placa de sinalizacao, fotoluminescente, em pvc , com logotipo "Extintor de incêndio portátil"- Placa E5</t>
        </is>
      </c>
      <c r="E220" s="18" t="inlineStr">
        <is>
          <t>un</t>
        </is>
      </c>
      <c r="F220" s="19" t="n">
        <v>6.0</v>
      </c>
      <c r="G220" s="20" t="n">
        <v>16.53</v>
      </c>
      <c r="H220" s="20" t="str">
        <f>TRUNC(G220 * (1 + 25.51 / 100), 2)</f>
      </c>
      <c r="I220" s="20" t="str">
        <f>TRUNC(F220 * h220, 2)</f>
      </c>
      <c r="J220" s="21" t="str">
        <f>i220 / 220048.84</f>
      </c>
    </row>
    <row customHeight="1" ht="39" r="221">
      <c r="A221" s="17" t="inlineStr">
        <is>
          <t> 16.3 </t>
        </is>
      </c>
      <c r="B221" s="19" t="inlineStr">
        <is>
          <t> 102513 </t>
        </is>
      </c>
      <c r="C221" s="17" t="inlineStr">
        <is>
          <t>SINAPI</t>
        </is>
      </c>
      <c r="D221" s="17" t="inlineStr">
        <is>
          <t>PINTURA DE SÍMBOLOS E TEXTOS COM TINTA ACRÍLICA OU ESMALTE SINTETICO, DEMARCAÇÃO COM FITA ADESIVA E APLICAÇÃO COM ROLO. AF_05/2021</t>
        </is>
      </c>
      <c r="E221" s="18" t="inlineStr">
        <is>
          <t>m²</t>
        </is>
      </c>
      <c r="F221" s="19" t="n">
        <v>6.0</v>
      </c>
      <c r="G221" s="20" t="n">
        <v>44.77</v>
      </c>
      <c r="H221" s="20" t="str">
        <f>TRUNC(G221 * (1 + 25.51 / 100), 2)</f>
      </c>
      <c r="I221" s="20" t="str">
        <f>TRUNC(F221 * h221, 2)</f>
      </c>
      <c r="J221" s="21" t="str">
        <f>i221 / 220048.84</f>
      </c>
    </row>
    <row customHeight="1" ht="26" r="222">
      <c r="A222" s="17" t="inlineStr">
        <is>
          <t> 16.4 </t>
        </is>
      </c>
      <c r="B222" s="19" t="inlineStr">
        <is>
          <t> TRE 085 </t>
        </is>
      </c>
      <c r="C222" s="17" t="inlineStr">
        <is>
          <t>Próprio</t>
        </is>
      </c>
      <c r="D222" s="17" t="inlineStr">
        <is>
          <t>SUPORTE DE PAREDE PARA EXTINTOR DE INCENDIO PORTATIL, EM ACO GALVANIZADO</t>
        </is>
      </c>
      <c r="E222" s="18" t="inlineStr">
        <is>
          <t>UND</t>
        </is>
      </c>
      <c r="F222" s="19" t="n">
        <v>6.0</v>
      </c>
      <c r="G222" s="20" t="n">
        <v>11.51</v>
      </c>
      <c r="H222" s="20" t="str">
        <f>TRUNC(G222 * (1 + 25.51 / 100), 2)</f>
      </c>
      <c r="I222" s="20" t="str">
        <f>TRUNC(F222 * h222, 2)</f>
      </c>
      <c r="J222" s="21" t="str">
        <f>i222 / 220048.84</f>
      </c>
    </row>
    <row customHeight="1" ht="24" r="223">
      <c r="A223" s="9" t="inlineStr">
        <is>
          <t> 17 </t>
        </is>
      </c>
      <c r="B223" s="9"/>
      <c r="C223" s="9"/>
      <c r="D223" s="9" t="inlineStr">
        <is>
          <t>LOUÇAS E METAIS</t>
        </is>
      </c>
      <c r="E223" s="9"/>
      <c r="F223" s="11"/>
      <c r="G223" s="9"/>
      <c r="H223" s="9"/>
      <c r="I223" s="12" t="n">
        <v>3100.01</v>
      </c>
      <c r="J223" s="13" t="str">
        <f>i223 / 220048.84</f>
      </c>
    </row>
    <row customHeight="1" ht="26" r="224">
      <c r="A224" s="17" t="inlineStr">
        <is>
          <t> 17.1 </t>
        </is>
      </c>
      <c r="B224" s="19" t="inlineStr">
        <is>
          <t> 11471 </t>
        </is>
      </c>
      <c r="C224" s="17" t="inlineStr">
        <is>
          <t>ORSE</t>
        </is>
      </c>
      <c r="D224" s="17" t="inlineStr">
        <is>
          <t>Assentamento de torneiras, metais e acessórios sanitários</t>
        </is>
      </c>
      <c r="E224" s="18" t="inlineStr">
        <is>
          <t>un</t>
        </is>
      </c>
      <c r="F224" s="19" t="n">
        <v>6.0</v>
      </c>
      <c r="G224" s="20" t="n">
        <v>13.68</v>
      </c>
      <c r="H224" s="20" t="str">
        <f>TRUNC(G224 * (1 + 25.51 / 100), 2)</f>
      </c>
      <c r="I224" s="20" t="str">
        <f>TRUNC(F224 * h224, 2)</f>
      </c>
      <c r="J224" s="21" t="str">
        <f>i224 / 220048.84</f>
      </c>
    </row>
    <row customHeight="1" ht="26" r="225">
      <c r="A225" s="17" t="inlineStr">
        <is>
          <t> 17.2 </t>
        </is>
      </c>
      <c r="B225" s="19" t="inlineStr">
        <is>
          <t> 95544 </t>
        </is>
      </c>
      <c r="C225" s="17" t="inlineStr">
        <is>
          <t>SINAPI</t>
        </is>
      </c>
      <c r="D225" s="17" t="inlineStr">
        <is>
          <t>PAPELEIRA DE PAREDE EM METAL CROMADO SEM TAMPA, INCLUSO FIXAÇÃO. AF_01/2020</t>
        </is>
      </c>
      <c r="E225" s="18" t="inlineStr">
        <is>
          <t>UN</t>
        </is>
      </c>
      <c r="F225" s="19" t="n">
        <v>2.0</v>
      </c>
      <c r="G225" s="20" t="n">
        <v>78.34</v>
      </c>
      <c r="H225" s="20" t="str">
        <f>TRUNC(G225 * (1 + 25.51 / 100), 2)</f>
      </c>
      <c r="I225" s="20" t="str">
        <f>TRUNC(F225 * h225, 2)</f>
      </c>
      <c r="J225" s="21" t="str">
        <f>i225 / 220048.84</f>
      </c>
    </row>
    <row customHeight="1" ht="26" r="226">
      <c r="A226" s="17" t="inlineStr">
        <is>
          <t> 17.3 </t>
        </is>
      </c>
      <c r="B226" s="19" t="inlineStr">
        <is>
          <t> 95546 </t>
        </is>
      </c>
      <c r="C226" s="17" t="inlineStr">
        <is>
          <t>SINAPI</t>
        </is>
      </c>
      <c r="D226" s="17" t="inlineStr">
        <is>
          <t>KIT DE ACESSORIOS PARA BANHEIRO EM METAL CROMADO, 5 PECAS, INCLUSO FIXAÇÃO. AF_01/2020</t>
        </is>
      </c>
      <c r="E226" s="18" t="inlineStr">
        <is>
          <t>UN</t>
        </is>
      </c>
      <c r="F226" s="19" t="n">
        <v>2.0</v>
      </c>
      <c r="G226" s="20" t="n">
        <v>235.77</v>
      </c>
      <c r="H226" s="20" t="str">
        <f>TRUNC(G226 * (1 + 25.51 / 100), 2)</f>
      </c>
      <c r="I226" s="20" t="str">
        <f>TRUNC(F226 * h226, 2)</f>
      </c>
      <c r="J226" s="21" t="str">
        <f>i226 / 220048.84</f>
      </c>
    </row>
    <row customHeight="1" ht="24" r="227">
      <c r="A227" s="17" t="inlineStr">
        <is>
          <t> 17.4 </t>
        </is>
      </c>
      <c r="B227" s="19" t="inlineStr">
        <is>
          <t> 2050 </t>
        </is>
      </c>
      <c r="C227" s="17" t="inlineStr">
        <is>
          <t>ORSE</t>
        </is>
      </c>
      <c r="D227" s="17" t="inlineStr">
        <is>
          <t>Chuveiro plástico sem registro</t>
        </is>
      </c>
      <c r="E227" s="18" t="inlineStr">
        <is>
          <t>un</t>
        </is>
      </c>
      <c r="F227" s="19" t="n">
        <v>2.0</v>
      </c>
      <c r="G227" s="20" t="n">
        <v>31.08</v>
      </c>
      <c r="H227" s="20" t="str">
        <f>TRUNC(G227 * (1 + 25.51 / 100), 2)</f>
      </c>
      <c r="I227" s="20" t="str">
        <f>TRUNC(F227 * h227, 2)</f>
      </c>
      <c r="J227" s="21" t="str">
        <f>i227 / 220048.84</f>
      </c>
    </row>
    <row customHeight="1" ht="26" r="228">
      <c r="A228" s="17" t="inlineStr">
        <is>
          <t> 17.5 </t>
        </is>
      </c>
      <c r="B228" s="19" t="inlineStr">
        <is>
          <t> 86913 </t>
        </is>
      </c>
      <c r="C228" s="17" t="inlineStr">
        <is>
          <t>SINAPI</t>
        </is>
      </c>
      <c r="D228" s="17" t="inlineStr">
        <is>
          <t>TORNEIRA CROMADA 1/2" OU 3/4" PARA TANQUE, PADRÃO POPULAR - FORNECIMENTO E INSTALAÇÃO. AF_01/2020</t>
        </is>
      </c>
      <c r="E228" s="18" t="inlineStr">
        <is>
          <t>UN</t>
        </is>
      </c>
      <c r="F228" s="19" t="n">
        <v>2.0</v>
      </c>
      <c r="G228" s="20" t="n">
        <v>57.5</v>
      </c>
      <c r="H228" s="20" t="str">
        <f>TRUNC(G228 * (1 + 25.51 / 100), 2)</f>
      </c>
      <c r="I228" s="20" t="str">
        <f>TRUNC(F228 * h228, 2)</f>
      </c>
      <c r="J228" s="21" t="str">
        <f>i228 / 220048.84</f>
      </c>
    </row>
    <row customHeight="1" ht="39" r="229">
      <c r="A229" s="17" t="inlineStr">
        <is>
          <t> 17.6 </t>
        </is>
      </c>
      <c r="B229" s="19" t="inlineStr">
        <is>
          <t> 94792 </t>
        </is>
      </c>
      <c r="C229" s="17" t="inlineStr">
        <is>
          <t>SINAPI</t>
        </is>
      </c>
      <c r="D229" s="17" t="inlineStr">
        <is>
          <t>REGISTRO DE GAVETA BRUTO, LATÃO, ROSCÁVEL, 1", COM ACABAMENTO E CANOPLA CROMADOS - FORNECIMENTO E INSTALAÇÃO. AF_08/2021</t>
        </is>
      </c>
      <c r="E229" s="18" t="inlineStr">
        <is>
          <t>UN</t>
        </is>
      </c>
      <c r="F229" s="19" t="n">
        <v>1.0</v>
      </c>
      <c r="G229" s="20" t="n">
        <v>128.41</v>
      </c>
      <c r="H229" s="20" t="str">
        <f>TRUNC(G229 * (1 + 25.51 / 100), 2)</f>
      </c>
      <c r="I229" s="20" t="str">
        <f>TRUNC(F229 * h229, 2)</f>
      </c>
      <c r="J229" s="21" t="str">
        <f>i229 / 220048.84</f>
      </c>
    </row>
    <row customHeight="1" ht="24" r="230">
      <c r="A230" s="17" t="inlineStr">
        <is>
          <t> 17.7 </t>
        </is>
      </c>
      <c r="B230" s="19" t="inlineStr">
        <is>
          <t> C1151 </t>
        </is>
      </c>
      <c r="C230" s="17" t="inlineStr">
        <is>
          <t>SEINFRA</t>
        </is>
      </c>
      <c r="D230" s="17" t="inlineStr">
        <is>
          <t>DUCHA P/ WC CROMADO (INSTALADO)</t>
        </is>
      </c>
      <c r="E230" s="18" t="inlineStr">
        <is>
          <t>UN</t>
        </is>
      </c>
      <c r="F230" s="19" t="n">
        <v>2.0</v>
      </c>
      <c r="G230" s="20" t="n">
        <v>75.15</v>
      </c>
      <c r="H230" s="20" t="str">
        <f>TRUNC(G230 * (1 + 25.51 / 100), 2)</f>
      </c>
      <c r="I230" s="20" t="str">
        <f>TRUNC(F230 * h230, 2)</f>
      </c>
      <c r="J230" s="21" t="str">
        <f>i230 / 220048.84</f>
      </c>
    </row>
    <row customHeight="1" ht="26" r="231">
      <c r="A231" s="17" t="inlineStr">
        <is>
          <t> 17.8 </t>
        </is>
      </c>
      <c r="B231" s="19" t="inlineStr">
        <is>
          <t> 100874 </t>
        </is>
      </c>
      <c r="C231" s="17" t="inlineStr">
        <is>
          <t>SINAPI</t>
        </is>
      </c>
      <c r="D231" s="17" t="inlineStr">
        <is>
          <t>PUXADOR PARA PCD, FIXADO NA PORTA - FORNECIMENTO E INSTALAÇÃO. AF_01/2020</t>
        </is>
      </c>
      <c r="E231" s="18" t="inlineStr">
        <is>
          <t>UN</t>
        </is>
      </c>
      <c r="F231" s="19" t="n">
        <v>2.0</v>
      </c>
      <c r="G231" s="20" t="n">
        <v>235.6</v>
      </c>
      <c r="H231" s="20" t="str">
        <f>TRUNC(G231 * (1 + 25.51 / 100), 2)</f>
      </c>
      <c r="I231" s="20" t="str">
        <f>TRUNC(F231 * h231, 2)</f>
      </c>
      <c r="J231" s="21" t="str">
        <f>i231 / 220048.84</f>
      </c>
    </row>
    <row customHeight="1" ht="26" r="232">
      <c r="A232" s="17" t="inlineStr">
        <is>
          <t> 17.9 </t>
        </is>
      </c>
      <c r="B232" s="19" t="inlineStr">
        <is>
          <t> 100849 </t>
        </is>
      </c>
      <c r="C232" s="17" t="inlineStr">
        <is>
          <t>SINAPI</t>
        </is>
      </c>
      <c r="D232" s="17" t="inlineStr">
        <is>
          <t>ASSENTO SANITÁRIO CONVENCIONAL - FORNECIMENTO E INSTALACAO. AF_01/2020</t>
        </is>
      </c>
      <c r="E232" s="18" t="inlineStr">
        <is>
          <t>UN</t>
        </is>
      </c>
      <c r="F232" s="19" t="n">
        <v>2.0</v>
      </c>
      <c r="G232" s="20" t="n">
        <v>46.81</v>
      </c>
      <c r="H232" s="20" t="str">
        <f>TRUNC(G232 * (1 + 25.51 / 100), 2)</f>
      </c>
      <c r="I232" s="20" t="str">
        <f>TRUNC(F232 * h232, 2)</f>
      </c>
      <c r="J232" s="21" t="str">
        <f>i232 / 220048.84</f>
      </c>
    </row>
    <row customHeight="1" ht="26" r="233">
      <c r="A233" s="17" t="inlineStr">
        <is>
          <t> 17.10 </t>
        </is>
      </c>
      <c r="B233" s="19" t="inlineStr">
        <is>
          <t> 7354 </t>
        </is>
      </c>
      <c r="C233" s="17" t="inlineStr">
        <is>
          <t>ORSE</t>
        </is>
      </c>
      <c r="D233" s="17" t="inlineStr">
        <is>
          <t>Torneira pressmatic 110 de mesa, DOCOL 17160806 ou similar</t>
        </is>
      </c>
      <c r="E233" s="18" t="inlineStr">
        <is>
          <t>un</t>
        </is>
      </c>
      <c r="F233" s="19" t="n">
        <v>2.0</v>
      </c>
      <c r="G233" s="20" t="n">
        <v>235.64</v>
      </c>
      <c r="H233" s="20" t="str">
        <f>TRUNC(G233 * (1 + 25.51 / 100), 2)</f>
      </c>
      <c r="I233" s="20" t="str">
        <f>TRUNC(F233 * h233, 2)</f>
      </c>
      <c r="J233" s="21" t="str">
        <f>i233 / 220048.84</f>
      </c>
    </row>
    <row customHeight="1" ht="24" r="234">
      <c r="A234" s="17" t="inlineStr">
        <is>
          <t> 17.11 </t>
        </is>
      </c>
      <c r="B234" s="19" t="inlineStr">
        <is>
          <t> C2313 </t>
        </is>
      </c>
      <c r="C234" s="17" t="inlineStr">
        <is>
          <t>SEINFRA</t>
        </is>
      </c>
      <c r="D234" s="17" t="inlineStr">
        <is>
          <t>TANQUE PRÉ-MOLDADO DE CONCRETO (0.80X0.70)m</t>
        </is>
      </c>
      <c r="E234" s="18" t="inlineStr">
        <is>
          <t>UN</t>
        </is>
      </c>
      <c r="F234" s="19" t="n">
        <v>1.0</v>
      </c>
      <c r="G234" s="20" t="n">
        <v>267.77</v>
      </c>
      <c r="H234" s="20" t="str">
        <f>TRUNC(G234 * (1 + 25.51 / 100), 2)</f>
      </c>
      <c r="I234" s="20" t="str">
        <f>TRUNC(F234 * h234, 2)</f>
      </c>
      <c r="J234" s="21" t="str">
        <f>i234 / 220048.84</f>
      </c>
    </row>
    <row customHeight="1" ht="24" r="235">
      <c r="A235" s="9" t="inlineStr">
        <is>
          <t> 18 </t>
        </is>
      </c>
      <c r="B235" s="9"/>
      <c r="C235" s="9"/>
      <c r="D235" s="9" t="inlineStr">
        <is>
          <t>SERVIÇOS COMPLEMENTARES</t>
        </is>
      </c>
      <c r="E235" s="9"/>
      <c r="F235" s="11"/>
      <c r="G235" s="9"/>
      <c r="H235" s="9"/>
      <c r="I235" s="12" t="n">
        <v>6263.59</v>
      </c>
      <c r="J235" s="13" t="str">
        <f>i235 / 220048.84</f>
      </c>
    </row>
    <row customHeight="1" ht="26" r="236">
      <c r="A236" s="17" t="inlineStr">
        <is>
          <t> 18.1 </t>
        </is>
      </c>
      <c r="B236" s="19" t="inlineStr">
        <is>
          <t> 99803 </t>
        </is>
      </c>
      <c r="C236" s="17" t="inlineStr">
        <is>
          <t>SINAPI</t>
        </is>
      </c>
      <c r="D236" s="17" t="inlineStr">
        <is>
          <t>LIMPEZA DE PISO CERÂMICO OU PORCELANATO COM PANO ÚMIDO. AF_04/2019</t>
        </is>
      </c>
      <c r="E236" s="18" t="inlineStr">
        <is>
          <t>m²</t>
        </is>
      </c>
      <c r="F236" s="19" t="n">
        <v>221.0</v>
      </c>
      <c r="G236" s="20" t="n">
        <v>2.0</v>
      </c>
      <c r="H236" s="20" t="str">
        <f>TRUNC(G236 * (1 + 25.51 / 100), 2)</f>
      </c>
      <c r="I236" s="20" t="str">
        <f>TRUNC(F236 * h236, 2)</f>
      </c>
      <c r="J236" s="21" t="str">
        <f>i236 / 220048.84</f>
      </c>
    </row>
    <row customHeight="1" ht="26" r="237">
      <c r="A237" s="17" t="inlineStr">
        <is>
          <t> 18.2 </t>
        </is>
      </c>
      <c r="B237" s="19" t="inlineStr">
        <is>
          <t> 99811 </t>
        </is>
      </c>
      <c r="C237" s="17" t="inlineStr">
        <is>
          <t>SINAPI</t>
        </is>
      </c>
      <c r="D237" s="17" t="inlineStr">
        <is>
          <t>LIMPEZA DE CONTRAPISO COM VASSOURA A SECO. AF_04/2019</t>
        </is>
      </c>
      <c r="E237" s="18" t="inlineStr">
        <is>
          <t>m²</t>
        </is>
      </c>
      <c r="F237" s="19" t="n">
        <v>350.0</v>
      </c>
      <c r="G237" s="20" t="n">
        <v>3.4</v>
      </c>
      <c r="H237" s="20" t="str">
        <f>TRUNC(G237 * (1 + 25.51 / 100), 2)</f>
      </c>
      <c r="I237" s="20" t="str">
        <f>TRUNC(F237 * h237, 2)</f>
      </c>
      <c r="J237" s="21" t="str">
        <f>i237 / 220048.84</f>
      </c>
    </row>
    <row customHeight="1" ht="24" r="238">
      <c r="A238" s="17" t="inlineStr">
        <is>
          <t> 18.3 </t>
        </is>
      </c>
      <c r="B238" s="19" t="inlineStr">
        <is>
          <t> 26 </t>
        </is>
      </c>
      <c r="C238" s="17" t="inlineStr">
        <is>
          <t>ORSE</t>
        </is>
      </c>
      <c r="D238" s="17" t="inlineStr">
        <is>
          <t>Coleta e carga manuais de entulho</t>
        </is>
      </c>
      <c r="E238" s="18" t="inlineStr">
        <is>
          <t>m³</t>
        </is>
      </c>
      <c r="F238" s="19" t="n">
        <v>20.0</v>
      </c>
      <c r="G238" s="20" t="n">
        <v>17.44</v>
      </c>
      <c r="H238" s="20" t="str">
        <f>TRUNC(G238 * (1 + 25.51 / 100), 2)</f>
      </c>
      <c r="I238" s="20" t="str">
        <f>TRUNC(F238 * h238, 2)</f>
      </c>
      <c r="J238" s="21" t="str">
        <f>i238 / 220048.84</f>
      </c>
    </row>
    <row customHeight="1" ht="39" r="239">
      <c r="A239" s="17" t="inlineStr">
        <is>
          <t> 18.4 </t>
        </is>
      </c>
      <c r="B239" s="19" t="inlineStr">
        <is>
          <t> 95875 </t>
        </is>
      </c>
      <c r="C239" s="17" t="inlineStr">
        <is>
          <t>SINAPI</t>
        </is>
      </c>
      <c r="D239" s="17" t="inlineStr">
        <is>
          <t>TRANSPORTE COM CAMINHÃO BASCULANTE DE 10 M³, EM VIA URBANA PAVIMENTADA, DMT ATÉ 30 KM (UNIDADE: M3XKM). AF_07/2020</t>
        </is>
      </c>
      <c r="E239" s="18" t="inlineStr">
        <is>
          <t>M3XKM</t>
        </is>
      </c>
      <c r="F239" s="19" t="n">
        <v>300.0</v>
      </c>
      <c r="G239" s="20" t="n">
        <v>2.43</v>
      </c>
      <c r="H239" s="20" t="str">
        <f>TRUNC(G239 * (1 + 25.51 / 100), 2)</f>
      </c>
      <c r="I239" s="20" t="str">
        <f>TRUNC(F239 * h239, 2)</f>
      </c>
      <c r="J239" s="21" t="str">
        <f>i239 / 220048.84</f>
      </c>
    </row>
    <row customHeight="1" ht="26" r="240">
      <c r="A240" s="17" t="inlineStr">
        <is>
          <t> 18.5 </t>
        </is>
      </c>
      <c r="B240" s="19" t="inlineStr">
        <is>
          <t> 98689 </t>
        </is>
      </c>
      <c r="C240" s="17" t="inlineStr">
        <is>
          <t>SINAPI</t>
        </is>
      </c>
      <c r="D240" s="17" t="inlineStr">
        <is>
          <t>SOLEIRA EM GRANITO, LARGURA 15 CM, ESPESSURA 2,0 CM. AF_09/2020</t>
        </is>
      </c>
      <c r="E240" s="18" t="inlineStr">
        <is>
          <t>M</t>
        </is>
      </c>
      <c r="F240" s="19" t="n">
        <v>10.0</v>
      </c>
      <c r="G240" s="20" t="n">
        <v>120.55</v>
      </c>
      <c r="H240" s="20" t="str">
        <f>TRUNC(G240 * (1 + 25.51 / 100), 2)</f>
      </c>
      <c r="I240" s="20" t="str">
        <f>TRUNC(F240 * h240, 2)</f>
      </c>
      <c r="J240" s="21" t="str">
        <f>i240 / 220048.84</f>
      </c>
    </row>
    <row customHeight="1" ht="24" r="241">
      <c r="A241" s="17" t="inlineStr">
        <is>
          <t> 18.6 </t>
        </is>
      </c>
      <c r="B241" s="19" t="inlineStr">
        <is>
          <t> 10759 </t>
        </is>
      </c>
      <c r="C241" s="17" t="inlineStr">
        <is>
          <t>ORSE</t>
        </is>
      </c>
      <c r="D241" s="17" t="inlineStr">
        <is>
          <t>Bancada em granito cinza andorinha, e=2cm</t>
        </is>
      </c>
      <c r="E241" s="18" t="inlineStr">
        <is>
          <t>m²</t>
        </is>
      </c>
      <c r="F241" s="19" t="n">
        <v>1.95</v>
      </c>
      <c r="G241" s="20" t="n">
        <v>553.76</v>
      </c>
      <c r="H241" s="20" t="str">
        <f>TRUNC(G241 * (1 + 25.51 / 100), 2)</f>
      </c>
      <c r="I241" s="20" t="str">
        <f>TRUNC(F241 * h241, 2)</f>
      </c>
      <c r="J241" s="21" t="str">
        <f>i241 / 220048.84</f>
      </c>
    </row>
    <row r="242">
      <c r="A242" s="67"/>
      <c r="B242" s="67"/>
      <c r="C242" s="67"/>
      <c r="D242" s="67"/>
      <c r="E242" s="67"/>
      <c r="F242" s="67"/>
      <c r="G242" s="67"/>
      <c r="H242" s="67"/>
      <c r="I242" s="67"/>
      <c r="J242" s="67"/>
    </row>
    <row r="243">
      <c r="A243" s="59"/>
      <c r="B243" s="59"/>
      <c r="C243" s="59"/>
      <c r="D243" s="66"/>
      <c r="E243" s="59"/>
      <c r="F243" s="57" t="inlineStr">
        <is>
          <t>Total sem BDI</t>
        </is>
      </c>
      <c r="G243" s="59"/>
      <c r="H243" s="60" t="n">
        <v>175367.23</v>
      </c>
      <c r="I243" s="59"/>
      <c r="J243" s="59"/>
    </row>
    <row r="244">
      <c r="A244" s="59"/>
      <c r="B244" s="59"/>
      <c r="C244" s="59"/>
      <c r="D244" s="66"/>
      <c r="E244" s="59"/>
      <c r="F244" s="57" t="inlineStr">
        <is>
          <t>Total do BDI</t>
        </is>
      </c>
      <c r="G244" s="59"/>
      <c r="H244" s="60" t="n">
        <v>44681.61</v>
      </c>
      <c r="I244" s="59"/>
      <c r="J244" s="59"/>
    </row>
    <row r="245">
      <c r="A245" s="59"/>
      <c r="B245" s="59"/>
      <c r="C245" s="59"/>
      <c r="D245" s="66"/>
      <c r="E245" s="59"/>
      <c r="F245" s="57" t="inlineStr">
        <is>
          <t>Total Geral</t>
        </is>
      </c>
      <c r="G245" s="59"/>
      <c r="H245" s="60" t="n">
        <v>220048.84</v>
      </c>
      <c r="I245" s="59"/>
      <c r="J245" s="59"/>
    </row>
    <row customHeight="1" ht="60" r="246">
      <c r="A246" s="58"/>
      <c r="B246" s="58"/>
      <c r="C246" s="58"/>
      <c r="D246" s="58"/>
      <c r="E246" s="58"/>
      <c r="F246" s="58"/>
      <c r="G246" s="58"/>
      <c r="H246" s="58"/>
      <c r="I246" s="58"/>
      <c r="J246" s="58"/>
    </row>
    <row customHeight="1" ht="70" r="247">
      <c r="A247" s="67" t="inlineStr">
        <is>
          <t>_______________________________________________________________
Eng. Civil Ellayne Cristine Barroso de A. Costa 
Registro Nacional RNP CREA Nº 191597626-0
</t>
        </is>
      </c>
    </row>
  </sheetData>
  <sheetCalcPr fullCalcOnLoad="1"/>
  <mergeCells count="17">
    <mergeCell ref="E1:f1"/>
    <mergeCell ref="g1:h1"/>
    <mergeCell ref="i1:j1"/>
    <mergeCell ref="E2:f2"/>
    <mergeCell ref="g2:h2"/>
    <mergeCell ref="i2:j2"/>
    <mergeCell ref="A3:j3"/>
    <mergeCell ref="A243:C243"/>
    <mergeCell ref="f243:g243"/>
    <mergeCell ref="h243:j243"/>
    <mergeCell ref="A244:C244"/>
    <mergeCell ref="f244:g244"/>
    <mergeCell ref="h244:j244"/>
    <mergeCell ref="A245:C245"/>
    <mergeCell ref="f245:g245"/>
    <mergeCell ref="h245:j245"/>
    <mergeCell ref="A247:j247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&amp;CBARROSO ENGENHARIA LTDA 
CNPJ: 27.730.370/0001-30
E-mail: ellaynebarrosoengenharia@gmail.com &amp;R</oddHeader>
    <oddFooter>&amp;L &amp;CRua Agenor Veloso, Nº 2171, SALA 01, Bairro Lourival Parente, Município Teresina – Piauí, CEP: 64023-285 &amp;R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2024-12-12T17:53:26Z</dcterms:created>
  <cp:revision>0</cp:revision>
</cp:coreProperties>
</file>